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C:\Users\ann\Desktop\"/>
    </mc:Choice>
  </mc:AlternateContent>
  <xr:revisionPtr revIDLastSave="0" documentId="8_{BE83B509-E347-4450-8602-0E904D705774}" xr6:coauthVersionLast="46" xr6:coauthVersionMax="46" xr10:uidLastSave="{00000000-0000-0000-0000-000000000000}"/>
  <workbookProtection workbookAlgorithmName="SHA-512" workbookHashValue="u9NtiwRou4bcOSFGllyKC+yrC60pvMxf+EKQgJubMerPv0+SLD8FcSLiCqKdG+kt/GgGtl+OqdLC/hQVUZ5/Vg==" workbookSaltValue="faYWOGr8FU7i3m7Ob3gwAQ==" workbookSpinCount="100000" lockStructure="1"/>
  <bookViews>
    <workbookView xWindow="1560" yWindow="1095" windowWidth="18045" windowHeight="11805" tabRatio="925" xr2:uid="{9C378D66-CA59-4995-B1E8-8752FA6A020B}"/>
  </bookViews>
  <sheets>
    <sheet name="Introduction and outcomes" sheetId="25" r:id="rId1"/>
    <sheet name="Checklist" sheetId="26" r:id="rId2"/>
    <sheet name="Dashboard" sheetId="23" r:id="rId3"/>
    <sheet name="Optional - input raw data" sheetId="24" r:id="rId4"/>
    <sheet name="RAG rating data for your school" sheetId="19" r:id="rId5"/>
    <sheet name="RAG rating data for all schools" sheetId="20" r:id="rId6"/>
    <sheet name="Calcs" sheetId="22" state="hidden" r:id="rId7"/>
  </sheets>
  <externalReferences>
    <externalReference r:id="rId8"/>
    <externalReference r:id="rId9"/>
    <externalReference r:id="rId10"/>
    <externalReference r:id="rId11"/>
  </externalReferences>
  <definedNames>
    <definedName name="A">Calcs!$C$9:$I$21</definedName>
    <definedName name="Actuaries" localSheetId="0">#REF!</definedName>
    <definedName name="Actuaries">#REF!</definedName>
    <definedName name="APL">'RAG rating data for all schools'!$F$559:$L$576</definedName>
    <definedName name="APNL">'RAG rating data for all schools'!$F$579:$L$596</definedName>
    <definedName name="ATL">'RAG rating data for all schools'!$F$599:$L$617</definedName>
    <definedName name="ATNL">'RAG rating data for all schools'!$F$620:$L$638</definedName>
    <definedName name="Average">Calcs!$B$58</definedName>
    <definedName name="B">Calcs!#REF!</definedName>
    <definedName name="Below">Calcs!$B$57</definedName>
    <definedName name="CC">Calcs!#REF!</definedName>
    <definedName name="Change_type">[1]Lookupsd!$A$4:$A$12</definedName>
    <definedName name="conv_date">[2]Lists!$F$1:$F$50</definedName>
    <definedName name="D">Calcs!#REF!</definedName>
    <definedName name="E">Calcs!#REF!</definedName>
    <definedName name="F">Calcs!#REF!</definedName>
    <definedName name="fedname">[3]Psuedo_WGAlist!$F$1:$L$537</definedName>
    <definedName name="G">Calcs!#REF!</definedName>
    <definedName name="Good">Calcs!$B$53</definedName>
    <definedName name="H">Calcs!#REF!</definedName>
    <definedName name="High">Calcs!$A$53</definedName>
    <definedName name="Higher">Calcs!$B$48</definedName>
    <definedName name="Highest10">Calcs!$A$50</definedName>
    <definedName name="Highest20">Calcs!$A$49</definedName>
    <definedName name="I">Calcs!#REF!</definedName>
    <definedName name="Inadequate">Calcs!$B$51</definedName>
    <definedName name="Inline">Calcs!$A$47</definedName>
    <definedName name="Inline2">Calcs!$B$47</definedName>
    <definedName name="J">Calcs!#REF!</definedName>
    <definedName name="K">Calcs!#REF!</definedName>
    <definedName name="L">Calcs!#REF!</definedName>
    <definedName name="Low">Calcs!$A$55</definedName>
    <definedName name="Lower">Calcs!$B$46</definedName>
    <definedName name="Lowest10">Calcs!$A$45</definedName>
    <definedName name="Lowest20">Calcs!$A$46</definedName>
    <definedName name="M">Calcs!#REF!</definedName>
    <definedName name="Medium">Calcs!$A$54</definedName>
    <definedName name="Middle20">Calcs!$A$48</definedName>
    <definedName name="Muchhigher">Calcs!$B$49</definedName>
    <definedName name="Muchlower">Calcs!$B$45</definedName>
    <definedName name="N">Calcs!#REF!</definedName>
    <definedName name="Name_difference">[4]Lookupsd!$D$4:$D$17</definedName>
    <definedName name="NL">'RAG rating data for all schools'!$F$641:$L$658</definedName>
    <definedName name="NNL">'RAG rating data for all schools'!$F$661:$L$678</definedName>
    <definedName name="O">Calcs!#REF!</definedName>
    <definedName name="Outstanding">Calcs!$B$54</definedName>
    <definedName name="P">Calcs!#REF!</definedName>
    <definedName name="PL">'RAG rating data for all schools'!$F$682:$L$685</definedName>
    <definedName name="PLH">'RAG rating data for all schools'!$F$192:$L$206</definedName>
    <definedName name="PLL">'RAG rating data for all schools'!$F$56:$L$70</definedName>
    <definedName name="PLM">'RAG rating data for all schools'!$F$124:$L$138</definedName>
    <definedName name="PMH">'RAG rating data for all schools'!$F$175:$L$189</definedName>
    <definedName name="PML">'RAG rating data for all schools'!$F$39:$L$53</definedName>
    <definedName name="PMM">'RAG rating data for all schools'!$F$107:$L$121</definedName>
    <definedName name="PNL">'RAG rating data for all schools'!$F$688:$L$691</definedName>
    <definedName name="_xlnm.Print_Area" localSheetId="1">Checklist!$B$2:$V$63</definedName>
    <definedName name="_xlnm.Print_Area" localSheetId="2">Dashboard!$B$2:$J$73</definedName>
    <definedName name="_xlnm.Print_Area" localSheetId="0">'Introduction and outcomes'!$B$2:$U$22</definedName>
    <definedName name="_xlnm.Print_Area" localSheetId="3">'Optional - input raw data'!$B$2:$G$56</definedName>
    <definedName name="PSH">'RAG rating data for all schools'!$F$158:$L$172</definedName>
    <definedName name="PSL">'RAG rating data for all schools'!$F$22:$L$36</definedName>
    <definedName name="PSM">'RAG rating data for all schools'!$F$90:$L$104</definedName>
    <definedName name="PVSH">'RAG rating data for all schools'!$F$141:$L$155</definedName>
    <definedName name="PVSL">'RAG rating data for all schools'!$F$5:$L$19</definedName>
    <definedName name="PVSM">'RAG rating data for all schools'!$F$73:$L$87</definedName>
    <definedName name="Q">Calcs!#REF!</definedName>
    <definedName name="RI">Calcs!$B$52</definedName>
    <definedName name="RR">Calcs!#REF!</definedName>
    <definedName name="S">Calcs!#REF!</definedName>
    <definedName name="SL">'RAG rating data for all schools'!$F$706:$L$709</definedName>
    <definedName name="SLH">'RAG rating data for all schools'!$F$500:$L$514</definedName>
    <definedName name="SLL">'RAG rating data for all schools'!$F$296:$L$310</definedName>
    <definedName name="SLM">'RAG rating data for all schools'!$F$398:$L$412</definedName>
    <definedName name="SMH">'RAG rating data for all schools'!$F$483:$L$497</definedName>
    <definedName name="SML">'RAG rating data for all schools'!$F$279:$L$293</definedName>
    <definedName name="SMM">'RAG rating data for all schools'!$F$381:$L$395</definedName>
    <definedName name="SNL">'RAG rating data for all schools'!$F$712:$L$715</definedName>
    <definedName name="SPL">'RAG rating data for all schools'!$F$519:$L$536</definedName>
    <definedName name="SPNL">'RAG rating data for all schools'!$F$539:$L$556</definedName>
    <definedName name="SSH">'RAG rating data for all schools'!$F$466:$L$480</definedName>
    <definedName name="SSL">'RAG rating data for all schools'!$F$262:$L$276</definedName>
    <definedName name="SSLH">'RAG rating data for all schools'!$F$449:$L$463</definedName>
    <definedName name="SSLL">'RAG rating data for all schools'!$F$245:$L$259</definedName>
    <definedName name="SSLM">'RAG rating data for all schools'!$F$347:$L$361</definedName>
    <definedName name="SSLo">'RAG rating data for all schools'!$F$694:$L$697</definedName>
    <definedName name="SSM">'RAG rating data for all schools'!$F$364:$L$378</definedName>
    <definedName name="SSMH">'RAG rating data for all schools'!$F$432:$L$446</definedName>
    <definedName name="SSML">'RAG rating data for all schools'!$F$228:$L$242</definedName>
    <definedName name="SSMM">'RAG rating data for all schools'!$F$330:$L$344</definedName>
    <definedName name="SSNL">'RAG rating data for all schools'!$F$700:$L$703</definedName>
    <definedName name="SSSH">'RAG rating data for all schools'!$F$415:$L$429</definedName>
    <definedName name="SSSL">'RAG rating data for all schools'!$F$211:$L$225</definedName>
    <definedName name="SSSM">'RAG rating data for all schools'!$F$313:$L$327</definedName>
    <definedName name="T">Calcs!#REF!</definedName>
    <definedName name="Wellabove">Calcs!$B$59</definedName>
    <definedName name="Wellbelow">Calcs!$B$56</definedName>
    <definedName name="Year">Calcs!$O$4:$O$7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2" l="1"/>
  <c r="H29" i="22" l="1"/>
  <c r="F23" i="24" l="1"/>
  <c r="O29" i="22" l="1"/>
  <c r="B9" i="22" l="1"/>
  <c r="I61" i="23" l="1"/>
  <c r="I59" i="23"/>
  <c r="I52" i="23" l="1"/>
  <c r="Q88" i="19" l="1"/>
  <c r="L88" i="19"/>
  <c r="G88" i="19"/>
  <c r="D88" i="19"/>
  <c r="M76" i="19"/>
  <c r="J76" i="19"/>
  <c r="H76" i="19"/>
  <c r="E76" i="19"/>
  <c r="M53" i="19"/>
  <c r="J53" i="19"/>
  <c r="H53" i="19"/>
  <c r="E53" i="19"/>
  <c r="M50" i="19"/>
  <c r="J50" i="19"/>
  <c r="H50" i="19"/>
  <c r="E50" i="19"/>
  <c r="M59" i="26"/>
  <c r="M50" i="26"/>
  <c r="M35" i="26"/>
  <c r="M41" i="26" s="1"/>
  <c r="M27" i="26"/>
  <c r="A29" i="22" l="1"/>
  <c r="B8" i="19" s="1"/>
  <c r="A66" i="22" l="1"/>
  <c r="I51" i="23" l="1"/>
  <c r="Z35" i="22"/>
  <c r="G39" i="23" l="1"/>
  <c r="I74" i="19"/>
  <c r="Z36" i="22"/>
  <c r="AA36" i="22"/>
  <c r="Z37" i="22"/>
  <c r="AA37" i="22"/>
  <c r="AA35" i="22"/>
  <c r="B21" i="22" l="1"/>
  <c r="G29" i="22"/>
  <c r="F29" i="22"/>
  <c r="I29" i="22" s="1"/>
  <c r="E29" i="22"/>
  <c r="K29" i="22" s="1"/>
  <c r="B4" i="19" l="1"/>
  <c r="C25" i="23"/>
  <c r="C7" i="22"/>
  <c r="L29" i="22"/>
  <c r="B3" i="19" s="1"/>
  <c r="M73" i="19" s="1"/>
  <c r="J29" i="22"/>
  <c r="M29" i="22" s="1"/>
  <c r="I21" i="22"/>
  <c r="C24" i="23" l="1"/>
  <c r="N29" i="22"/>
  <c r="B6" i="19" s="1"/>
  <c r="J74" i="19"/>
  <c r="H73" i="19"/>
  <c r="B5" i="19"/>
  <c r="J73" i="19"/>
  <c r="E73" i="19"/>
  <c r="O73" i="19"/>
  <c r="E74" i="19"/>
  <c r="H74" i="19"/>
  <c r="C6" i="22"/>
  <c r="I42" i="23"/>
  <c r="I60" i="23"/>
  <c r="I58" i="23"/>
  <c r="I57" i="23"/>
  <c r="E21" i="22"/>
  <c r="F21" i="22"/>
  <c r="C21" i="22"/>
  <c r="D21" i="22"/>
  <c r="G21" i="22"/>
  <c r="H21" i="22"/>
  <c r="I47" i="23" l="1"/>
  <c r="I43" i="23"/>
  <c r="I38" i="23"/>
  <c r="F20" i="24" l="1"/>
  <c r="B93" i="19" l="1"/>
  <c r="B99" i="19"/>
  <c r="B90" i="19"/>
  <c r="B79" i="19"/>
  <c r="B73" i="19"/>
  <c r="B96" i="19"/>
  <c r="M90" i="19" l="1"/>
  <c r="J90" i="19"/>
  <c r="E90" i="19"/>
  <c r="R90" i="19"/>
  <c r="H90" i="19"/>
  <c r="O90" i="19"/>
  <c r="M96" i="19"/>
  <c r="J96" i="19"/>
  <c r="E96" i="19"/>
  <c r="R96" i="19"/>
  <c r="H96" i="19"/>
  <c r="O96" i="19"/>
  <c r="R99" i="19"/>
  <c r="H99" i="19"/>
  <c r="J99" i="19"/>
  <c r="O99" i="19"/>
  <c r="E99" i="19"/>
  <c r="M99" i="19"/>
  <c r="R93" i="19"/>
  <c r="H93" i="19"/>
  <c r="O93" i="19"/>
  <c r="E93" i="19"/>
  <c r="J93" i="19"/>
  <c r="M93" i="19"/>
  <c r="Q79" i="19"/>
  <c r="I79" i="19"/>
  <c r="I80" i="19"/>
  <c r="L80" i="19"/>
  <c r="S79" i="19"/>
  <c r="L79" i="19"/>
  <c r="N80" i="19"/>
  <c r="G79" i="19"/>
  <c r="G80" i="19"/>
  <c r="N79" i="19"/>
  <c r="N99" i="19" l="1"/>
  <c r="I99" i="19"/>
  <c r="I96" i="19"/>
  <c r="N93" i="19"/>
  <c r="Q90" i="19"/>
  <c r="N96" i="19" l="1"/>
  <c r="I73" i="19"/>
  <c r="D96" i="19"/>
  <c r="G93" i="19"/>
  <c r="I93" i="19"/>
  <c r="G74" i="19"/>
  <c r="D93" i="19"/>
  <c r="Q93" i="19"/>
  <c r="D73" i="19"/>
  <c r="L93" i="19"/>
  <c r="D99" i="19"/>
  <c r="D79" i="19"/>
  <c r="G73" i="19"/>
  <c r="N73" i="19" s="1"/>
  <c r="L73" i="19"/>
  <c r="D74" i="19"/>
  <c r="D80" i="19"/>
  <c r="D90" i="19"/>
  <c r="I90" i="19"/>
  <c r="N90" i="19"/>
  <c r="G96" i="19"/>
  <c r="L96" i="19"/>
  <c r="Q96" i="19"/>
  <c r="G99" i="19"/>
  <c r="L99" i="19"/>
  <c r="Q99" i="19"/>
  <c r="G90" i="19"/>
  <c r="L90" i="19"/>
  <c r="I9" i="22"/>
  <c r="E62" i="19"/>
  <c r="G9" i="22"/>
  <c r="I10" i="22"/>
  <c r="H14" i="22"/>
  <c r="D9" i="22"/>
  <c r="F10" i="22"/>
  <c r="M61" i="19"/>
  <c r="I19" i="22"/>
  <c r="E22" i="19"/>
  <c r="F19" i="22"/>
  <c r="G18" i="22"/>
  <c r="F11" i="22"/>
  <c r="H9" i="22"/>
  <c r="E61" i="19"/>
  <c r="C19" i="22"/>
  <c r="F12" i="22"/>
  <c r="D15" i="22"/>
  <c r="J62" i="19"/>
  <c r="E11" i="22"/>
  <c r="I11" i="22"/>
  <c r="M39" i="19"/>
  <c r="I14" i="22"/>
  <c r="T61" i="19"/>
  <c r="R61" i="19"/>
  <c r="E18" i="22"/>
  <c r="J61" i="19"/>
  <c r="I17" i="22"/>
  <c r="F15" i="22"/>
  <c r="H19" i="22"/>
  <c r="H71" i="19" s="1"/>
  <c r="E19" i="22"/>
  <c r="E71" i="19"/>
  <c r="J21" i="19"/>
  <c r="M22" i="19"/>
  <c r="H61" i="19"/>
  <c r="H13" i="22"/>
  <c r="J22" i="19"/>
  <c r="F18" i="22"/>
  <c r="E15" i="22"/>
  <c r="H11" i="22"/>
  <c r="T21" i="19"/>
  <c r="I18" i="22"/>
  <c r="M62" i="19"/>
  <c r="I13" i="22"/>
  <c r="E33" i="19" s="1"/>
  <c r="I16" i="22"/>
  <c r="F14" i="22"/>
  <c r="G19" i="22"/>
  <c r="G15" i="22"/>
  <c r="O62" i="19"/>
  <c r="E10" i="22"/>
  <c r="F9" i="22"/>
  <c r="H62" i="19"/>
  <c r="D18" i="22"/>
  <c r="J67" i="19" s="1"/>
  <c r="G11" i="22"/>
  <c r="T67" i="19"/>
  <c r="D19" i="22"/>
  <c r="J70" i="19" s="1"/>
  <c r="C9" i="22"/>
  <c r="H18" i="22"/>
  <c r="F13" i="22"/>
  <c r="F17" i="22"/>
  <c r="H17" i="22"/>
  <c r="F16" i="22"/>
  <c r="H16" i="22"/>
  <c r="M25" i="19"/>
  <c r="I12" i="22"/>
  <c r="E9" i="22"/>
  <c r="O61" i="19"/>
  <c r="R21" i="19"/>
  <c r="C18" i="22"/>
  <c r="H67" i="19" s="1"/>
  <c r="H10" i="22"/>
  <c r="G17" i="22"/>
  <c r="E17" i="22"/>
  <c r="H12" i="22"/>
  <c r="J33" i="19"/>
  <c r="H70" i="19"/>
  <c r="C15" i="22"/>
  <c r="E67" i="19"/>
  <c r="E42" i="19"/>
  <c r="J42" i="19"/>
  <c r="H21" i="19"/>
  <c r="E21" i="19"/>
  <c r="M65" i="19"/>
  <c r="E39" i="19"/>
  <c r="I30" i="23" l="1"/>
  <c r="I48" i="23"/>
  <c r="I50" i="23"/>
  <c r="I49" i="23"/>
  <c r="I37" i="23"/>
  <c r="I36" i="23"/>
  <c r="I35" i="23"/>
  <c r="I34" i="23"/>
  <c r="I33" i="23"/>
  <c r="I32" i="23"/>
  <c r="H39" i="19"/>
  <c r="R39" i="19"/>
  <c r="H68" i="19"/>
  <c r="J24" i="19"/>
  <c r="H20" i="22"/>
  <c r="O21" i="19"/>
  <c r="M36" i="19"/>
  <c r="G20" i="22"/>
  <c r="H64" i="19"/>
  <c r="R67" i="19"/>
  <c r="M67" i="19"/>
  <c r="T79" i="19"/>
  <c r="M68" i="19"/>
  <c r="E24" i="19"/>
  <c r="R70" i="19"/>
  <c r="M30" i="19"/>
  <c r="O68" i="19"/>
  <c r="H30" i="19"/>
  <c r="T64" i="19"/>
  <c r="C20" i="22"/>
  <c r="H22" i="19"/>
  <c r="J68" i="19"/>
  <c r="E27" i="19"/>
  <c r="O22" i="19"/>
  <c r="M27" i="19"/>
  <c r="J71" i="19"/>
  <c r="T27" i="19"/>
  <c r="G10" i="22"/>
  <c r="T24" i="19" s="1"/>
  <c r="J64" i="19"/>
  <c r="E30" i="19"/>
  <c r="M21" i="19"/>
  <c r="T70" i="19"/>
  <c r="M28" i="19"/>
  <c r="F20" i="22"/>
  <c r="R64" i="19"/>
  <c r="J39" i="19"/>
  <c r="E20" i="22"/>
  <c r="R27" i="19"/>
  <c r="H36" i="19"/>
  <c r="O70" i="19"/>
  <c r="M71" i="19"/>
  <c r="O39" i="19"/>
  <c r="M33" i="19"/>
  <c r="J30" i="19"/>
  <c r="O64" i="19"/>
  <c r="M70" i="19"/>
  <c r="D20" i="22"/>
  <c r="O24" i="19"/>
  <c r="T39" i="19"/>
  <c r="H33" i="19"/>
  <c r="O27" i="19"/>
  <c r="E70" i="19"/>
  <c r="R79" i="19"/>
  <c r="H27" i="19"/>
  <c r="R24" i="19"/>
  <c r="H24" i="19"/>
  <c r="O67" i="19"/>
  <c r="J27" i="19"/>
  <c r="M80" i="19"/>
  <c r="H42" i="19"/>
  <c r="E68" i="19"/>
  <c r="M64" i="19"/>
  <c r="E64" i="19"/>
  <c r="J36" i="19"/>
  <c r="O71" i="19"/>
  <c r="E36" i="19"/>
  <c r="M42" i="19"/>
  <c r="I20" i="22"/>
  <c r="M40" i="19"/>
  <c r="I53" i="23" l="1"/>
  <c r="I31" i="23"/>
  <c r="J79" i="19"/>
  <c r="H79" i="19"/>
  <c r="E80" i="19"/>
  <c r="E79" i="19"/>
  <c r="H80" i="19"/>
  <c r="M79" i="19"/>
  <c r="M24" i="19"/>
  <c r="O80" i="19"/>
  <c r="O79" i="19"/>
  <c r="J80" i="19"/>
</calcChain>
</file>

<file path=xl/sharedStrings.xml><?xml version="1.0" encoding="utf-8"?>
<sst xmlns="http://schemas.openxmlformats.org/spreadsheetml/2006/main" count="3038" uniqueCount="397">
  <si>
    <t>Average class size</t>
  </si>
  <si>
    <t>Energy</t>
  </si>
  <si>
    <t>Teaching staff</t>
  </si>
  <si>
    <t>Education support staff</t>
  </si>
  <si>
    <t>Pupil to teacher ratio</t>
  </si>
  <si>
    <t>Administrative and clerical staff</t>
  </si>
  <si>
    <t>School name:</t>
  </si>
  <si>
    <t>Ofsted rating</t>
  </si>
  <si>
    <t>Progress 8 score</t>
  </si>
  <si>
    <t>Progress score in reading</t>
  </si>
  <si>
    <t>Progress score in writing</t>
  </si>
  <si>
    <t>Progress score in maths</t>
  </si>
  <si>
    <t>A. Governance</t>
  </si>
  <si>
    <t>Comments, evidence and proposed actions</t>
  </si>
  <si>
    <t>Pupil to adult ratio</t>
  </si>
  <si>
    <t>Inadequate</t>
  </si>
  <si>
    <t>Phase</t>
  </si>
  <si>
    <t>Phase:</t>
  </si>
  <si>
    <t>Region:</t>
  </si>
  <si>
    <t>Number of pupils:</t>
  </si>
  <si>
    <t>FSM</t>
  </si>
  <si>
    <t>Primary</t>
  </si>
  <si>
    <t>All-through</t>
  </si>
  <si>
    <t>Rating against
thresholds</t>
  </si>
  <si>
    <r>
      <t xml:space="preserve">Spend on </t>
    </r>
    <r>
      <rPr>
        <b/>
        <sz val="12"/>
        <color theme="1"/>
        <rFont val="Arial"/>
        <family val="2"/>
      </rPr>
      <t>teaching staff</t>
    </r>
    <r>
      <rPr>
        <sz val="12"/>
        <color theme="1"/>
        <rFont val="Arial"/>
        <family val="2"/>
      </rPr>
      <t xml:space="preserve"> as a percentage of total expenditure</t>
    </r>
  </si>
  <si>
    <r>
      <t xml:space="preserve">Spend on </t>
    </r>
    <r>
      <rPr>
        <b/>
        <sz val="12"/>
        <color theme="1"/>
        <rFont val="Arial"/>
        <family val="2"/>
      </rPr>
      <t>supply staff</t>
    </r>
    <r>
      <rPr>
        <sz val="12"/>
        <color theme="1"/>
        <rFont val="Arial"/>
        <family val="2"/>
      </rPr>
      <t xml:space="preserve"> as a percentage of total expenditure</t>
    </r>
  </si>
  <si>
    <r>
      <t xml:space="preserve">Spend on </t>
    </r>
    <r>
      <rPr>
        <b/>
        <sz val="12"/>
        <color theme="1"/>
        <rFont val="Arial"/>
        <family val="2"/>
      </rPr>
      <t>education support staff</t>
    </r>
    <r>
      <rPr>
        <sz val="12"/>
        <color theme="1"/>
        <rFont val="Arial"/>
        <family val="2"/>
      </rPr>
      <t xml:space="preserve"> as a percentage of total expenditure</t>
    </r>
  </si>
  <si>
    <r>
      <t xml:space="preserve">Spend on </t>
    </r>
    <r>
      <rPr>
        <b/>
        <sz val="12"/>
        <color theme="1"/>
        <rFont val="Arial"/>
        <family val="2"/>
      </rPr>
      <t>administrative and clerical staff</t>
    </r>
    <r>
      <rPr>
        <sz val="12"/>
        <color theme="1"/>
        <rFont val="Arial"/>
        <family val="2"/>
      </rPr>
      <t xml:space="preserve"> as a percentage of total expenditure</t>
    </r>
  </si>
  <si>
    <r>
      <t xml:space="preserve">Spend on </t>
    </r>
    <r>
      <rPr>
        <b/>
        <sz val="12"/>
        <color theme="1"/>
        <rFont val="Arial"/>
        <family val="2"/>
      </rPr>
      <t>other staff costs</t>
    </r>
    <r>
      <rPr>
        <sz val="12"/>
        <color theme="1"/>
        <rFont val="Arial"/>
        <family val="2"/>
      </rPr>
      <t xml:space="preserve"> as a percentage of total expenditure</t>
    </r>
  </si>
  <si>
    <r>
      <t xml:space="preserve">Spend on </t>
    </r>
    <r>
      <rPr>
        <b/>
        <sz val="12"/>
        <color theme="1"/>
        <rFont val="Arial"/>
        <family val="2"/>
      </rPr>
      <t>premises (including staff costs)</t>
    </r>
    <r>
      <rPr>
        <sz val="12"/>
        <color theme="1"/>
        <rFont val="Arial"/>
        <family val="2"/>
      </rPr>
      <t xml:space="preserve"> as a percentage of total expenditure</t>
    </r>
  </si>
  <si>
    <t>Other spending as a percentage of total expenditure (balancing line)</t>
  </si>
  <si>
    <r>
      <t xml:space="preserve">Spend on </t>
    </r>
    <r>
      <rPr>
        <b/>
        <sz val="12"/>
        <color theme="1"/>
        <rFont val="Arial"/>
        <family val="2"/>
      </rPr>
      <t>energy</t>
    </r>
    <r>
      <rPr>
        <sz val="12"/>
        <color theme="1"/>
        <rFont val="Arial"/>
        <family val="2"/>
      </rPr>
      <t xml:space="preserve"> as a percentage of total expenditure</t>
    </r>
  </si>
  <si>
    <r>
      <t xml:space="preserve">In-year balance as a percentage of </t>
    </r>
    <r>
      <rPr>
        <sz val="12"/>
        <rFont val="Arial"/>
        <family val="2"/>
      </rPr>
      <t>total income</t>
    </r>
  </si>
  <si>
    <t>Average teacher cost (£)</t>
  </si>
  <si>
    <t>Senior leaders as a percentage of workforce</t>
  </si>
  <si>
    <t>Teacher contact ratio (less than 1.0)</t>
  </si>
  <si>
    <t>Predicted percentage pupil number change in 3-5 years</t>
  </si>
  <si>
    <t>Answer</t>
  </si>
  <si>
    <t>Middle 20% of similar schools</t>
  </si>
  <si>
    <t>Lowest 10% of similar schools</t>
  </si>
  <si>
    <t>Lowest 20% of similar schools</t>
  </si>
  <si>
    <t>Highest 20% of similar schools</t>
  </si>
  <si>
    <t>Highest 10% of similar schools</t>
  </si>
  <si>
    <t>Well below average</t>
  </si>
  <si>
    <t>Below average</t>
  </si>
  <si>
    <t>Well above average</t>
  </si>
  <si>
    <t>Lower than recommended</t>
  </si>
  <si>
    <t>Much lower than recommended</t>
  </si>
  <si>
    <t>Higher than recommended</t>
  </si>
  <si>
    <t>Much higher than recommended</t>
  </si>
  <si>
    <t>Average or above average</t>
  </si>
  <si>
    <t>Are there adequate arrangements in place to manage conflicts of interest or any related party transactions?</t>
  </si>
  <si>
    <t>C. Reserves / balances as a percentage of total income</t>
  </si>
  <si>
    <t>D. School characteristics</t>
  </si>
  <si>
    <t>E. Outcomes</t>
  </si>
  <si>
    <t>Signature:</t>
  </si>
  <si>
    <r>
      <t>Spend on</t>
    </r>
    <r>
      <rPr>
        <b/>
        <sz val="12"/>
        <color theme="1"/>
        <rFont val="Arial"/>
        <family val="2"/>
      </rPr>
      <t xml:space="preserve"> teaching resources</t>
    </r>
    <r>
      <rPr>
        <sz val="12"/>
        <color theme="1"/>
        <rFont val="Arial"/>
        <family val="2"/>
      </rPr>
      <t xml:space="preserve"> as a percentage of total expenditure</t>
    </r>
  </si>
  <si>
    <r>
      <t xml:space="preserve">Revenue reserve as a percentage of </t>
    </r>
    <r>
      <rPr>
        <sz val="12"/>
        <rFont val="Arial"/>
        <family val="2"/>
      </rPr>
      <t>total income</t>
    </r>
  </si>
  <si>
    <t>Full name of signatory:</t>
  </si>
  <si>
    <t>Guidance</t>
  </si>
  <si>
    <t>F: Optional commentary</t>
  </si>
  <si>
    <t>Total expenditure</t>
  </si>
  <si>
    <t>Examination fees</t>
  </si>
  <si>
    <t>Supply teaching staff</t>
  </si>
  <si>
    <t>Premises staff</t>
  </si>
  <si>
    <t>Catering staff</t>
  </si>
  <si>
    <t>Cost of other staff</t>
  </si>
  <si>
    <t>Indirect employee expenses</t>
  </si>
  <si>
    <t>Staff development and training</t>
  </si>
  <si>
    <t>E10</t>
  </si>
  <si>
    <t>Supply teacher insurance</t>
  </si>
  <si>
    <t>E11</t>
  </si>
  <si>
    <t>Staff-related insurance</t>
  </si>
  <si>
    <t>E13</t>
  </si>
  <si>
    <t>E14</t>
  </si>
  <si>
    <t>Cleaning and caretaking</t>
  </si>
  <si>
    <t>E15</t>
  </si>
  <si>
    <t>Water and sewerage</t>
  </si>
  <si>
    <t>E16</t>
  </si>
  <si>
    <t>E17</t>
  </si>
  <si>
    <t>E18</t>
  </si>
  <si>
    <t>Other occupation costs</t>
  </si>
  <si>
    <t>E19</t>
  </si>
  <si>
    <t>E21</t>
  </si>
  <si>
    <t>E22</t>
  </si>
  <si>
    <t>E23</t>
  </si>
  <si>
    <t>Other insurance premiums</t>
  </si>
  <si>
    <t>E24</t>
  </si>
  <si>
    <t>Special facilities</t>
  </si>
  <si>
    <t>E25</t>
  </si>
  <si>
    <t>Catering supplies</t>
  </si>
  <si>
    <t>E26</t>
  </si>
  <si>
    <t>Agency supply teaching staff</t>
  </si>
  <si>
    <t>E28</t>
  </si>
  <si>
    <t>E29</t>
  </si>
  <si>
    <t>E30</t>
  </si>
  <si>
    <t>E31</t>
  </si>
  <si>
    <t>E32</t>
  </si>
  <si>
    <t>Total income</t>
  </si>
  <si>
    <t>Full time equivalent of teachers in the leadership group</t>
  </si>
  <si>
    <t>Full time equivalent of total school workforce</t>
  </si>
  <si>
    <t>Revenue balances (committed and uncommitted)</t>
  </si>
  <si>
    <t>Raw data form</t>
  </si>
  <si>
    <t>Spend on teaching staff as a percentage of total expenditure</t>
  </si>
  <si>
    <t>Spend on supply staff as a percentage of total expenditure</t>
  </si>
  <si>
    <t>Spend on education support staff as a percentage of total expenditure</t>
  </si>
  <si>
    <t>Spend on administrative and clerical staff as a percentage of total expenditure</t>
  </si>
  <si>
    <t>Spend on other staff costs as a percentage of total expenditure</t>
  </si>
  <si>
    <t>Spend on premises (including staff costs) as a percentage of total expenditure</t>
  </si>
  <si>
    <t>Spend on teaching resources as a percentage of total expenditure</t>
  </si>
  <si>
    <t>Spend on energy as a percentage of total expenditure</t>
  </si>
  <si>
    <t>In-year balance as a percentage of total income</t>
  </si>
  <si>
    <t>Revenue reserve as a percentage of total income</t>
  </si>
  <si>
    <t>Red rating</t>
  </si>
  <si>
    <t>Less than or equal to</t>
  </si>
  <si>
    <t>Amber rating</t>
  </si>
  <si>
    <t>Between</t>
  </si>
  <si>
    <t>and</t>
  </si>
  <si>
    <t>Or between</t>
  </si>
  <si>
    <t xml:space="preserve">Or more than </t>
  </si>
  <si>
    <t>Light green rating</t>
  </si>
  <si>
    <t>Dark green rating</t>
  </si>
  <si>
    <t>More than</t>
  </si>
  <si>
    <t>Or less than or equal to</t>
  </si>
  <si>
    <t>Or more than</t>
  </si>
  <si>
    <t>B. Your spending as a percentage of expenditure</t>
  </si>
  <si>
    <t>Good</t>
  </si>
  <si>
    <t>Your school has been identified as:</t>
  </si>
  <si>
    <t>Size</t>
  </si>
  <si>
    <t>School is rated</t>
  </si>
  <si>
    <t>Secondary with sixth form</t>
  </si>
  <si>
    <t>Secondary without sixth form</t>
  </si>
  <si>
    <t>Special</t>
  </si>
  <si>
    <t>Alternative provision</t>
  </si>
  <si>
    <t>The thresholds for the RAG ratings are based on these characteristics and are:</t>
  </si>
  <si>
    <t>Very small</t>
  </si>
  <si>
    <t>Low FSM</t>
  </si>
  <si>
    <t>Small</t>
  </si>
  <si>
    <t>Medium</t>
  </si>
  <si>
    <t>Large</t>
  </si>
  <si>
    <t>Medium FSM</t>
  </si>
  <si>
    <t>High FSM</t>
  </si>
  <si>
    <t>London</t>
  </si>
  <si>
    <t>Non-London</t>
  </si>
  <si>
    <t>Nursery</t>
  </si>
  <si>
    <t>Sample size</t>
  </si>
  <si>
    <t>London?</t>
  </si>
  <si>
    <t>Note: all but average teacher cost are the same for type of school, despite the location</t>
  </si>
  <si>
    <t>Red if less than:</t>
  </si>
  <si>
    <t>Amber if less than:</t>
  </si>
  <si>
    <t>Dark green if between:</t>
  </si>
  <si>
    <t>Amber if more than:</t>
  </si>
  <si>
    <t>Red if more than:</t>
  </si>
  <si>
    <t>Light green for everything else</t>
  </si>
  <si>
    <t>and:</t>
  </si>
  <si>
    <t>(Median)</t>
  </si>
  <si>
    <t>This shows the average teacher cost for primary and secondary schools. All others are above</t>
  </si>
  <si>
    <t>Broadly in line with similar schools</t>
  </si>
  <si>
    <t>High risk</t>
  </si>
  <si>
    <t>Medium risk</t>
  </si>
  <si>
    <t>Low risk</t>
  </si>
  <si>
    <t>Broadly in line with recommendations</t>
  </si>
  <si>
    <t>Requires Improvement</t>
  </si>
  <si>
    <t>More than or equal to</t>
  </si>
  <si>
    <t>Full time equivalent number of teachers (classroom and leadership)</t>
  </si>
  <si>
    <t>Summary of agreed action and timetable for reporting back:</t>
  </si>
  <si>
    <t>Teaching periods in the timetable cycle</t>
  </si>
  <si>
    <t>Total number of classes</t>
  </si>
  <si>
    <t>For secondary and all-through schools:</t>
  </si>
  <si>
    <t>For primary schools:</t>
  </si>
  <si>
    <t>Outstanding</t>
  </si>
  <si>
    <t>Total lessons taught by all teachers in the timetable cycle</t>
  </si>
  <si>
    <t>Teaching resources</t>
  </si>
  <si>
    <t>ICT teaching resources</t>
  </si>
  <si>
    <t>Expand the groups to see the thresholds</t>
  </si>
  <si>
    <t>PVSL</t>
  </si>
  <si>
    <t>PSL</t>
  </si>
  <si>
    <t>PML</t>
  </si>
  <si>
    <t>PLL</t>
  </si>
  <si>
    <t>PVSM</t>
  </si>
  <si>
    <t>PSM</t>
  </si>
  <si>
    <t>PMM</t>
  </si>
  <si>
    <t>PLM</t>
  </si>
  <si>
    <t>PSH</t>
  </si>
  <si>
    <t>PVSH</t>
  </si>
  <si>
    <t>PMH</t>
  </si>
  <si>
    <t>PLH</t>
  </si>
  <si>
    <t>SSSL</t>
  </si>
  <si>
    <t>SSML</t>
  </si>
  <si>
    <t>SSLL</t>
  </si>
  <si>
    <t>SSL</t>
  </si>
  <si>
    <t>SML</t>
  </si>
  <si>
    <t>SLL</t>
  </si>
  <si>
    <t>SSSM</t>
  </si>
  <si>
    <t>SSMM</t>
  </si>
  <si>
    <t>SSLM</t>
  </si>
  <si>
    <t>SSM</t>
  </si>
  <si>
    <t>SMM</t>
  </si>
  <si>
    <t>SLM</t>
  </si>
  <si>
    <t>SSSH</t>
  </si>
  <si>
    <t>SSMH</t>
  </si>
  <si>
    <t>SSLH</t>
  </si>
  <si>
    <t>SSH</t>
  </si>
  <si>
    <t>SMH</t>
  </si>
  <si>
    <t>SLH</t>
  </si>
  <si>
    <t>SPL</t>
  </si>
  <si>
    <t>APL</t>
  </si>
  <si>
    <t>SPNL</t>
  </si>
  <si>
    <t>APNL</t>
  </si>
  <si>
    <t>ATL</t>
  </si>
  <si>
    <t>ATNL</t>
  </si>
  <si>
    <t>NL</t>
  </si>
  <si>
    <t>NNL</t>
  </si>
  <si>
    <t>PL</t>
  </si>
  <si>
    <t>PNL</t>
  </si>
  <si>
    <t>SL</t>
  </si>
  <si>
    <t>SNL</t>
  </si>
  <si>
    <t>SSNL</t>
  </si>
  <si>
    <t>SSLo</t>
  </si>
  <si>
    <t>Average teacher cost</t>
  </si>
  <si>
    <t>% of pupils eligible for FSM:</t>
  </si>
  <si>
    <t>B. Spending as a percentage of total expenditure</t>
  </si>
  <si>
    <t>The school's
data</t>
  </si>
  <si>
    <t>This school is being compared to other:</t>
  </si>
  <si>
    <r>
      <t xml:space="preserve">Guidance on calculating or collecting the data for the school so that metrics are compared to thresholds consistently can be found </t>
    </r>
    <r>
      <rPr>
        <u/>
        <sz val="12"/>
        <color theme="4" tint="-0.249977111117893"/>
        <rFont val="Arial"/>
        <family val="2"/>
      </rPr>
      <t>here</t>
    </r>
    <r>
      <rPr>
        <sz val="12"/>
        <rFont val="Arial"/>
        <family val="2"/>
      </rPr>
      <t>. Clicking on the link next to individual indicators below will also take you to the relevant section of the guidance.</t>
    </r>
  </si>
  <si>
    <t>A</t>
  </si>
  <si>
    <t>H</t>
  </si>
  <si>
    <t>School name from dashboard</t>
  </si>
  <si>
    <t>School information from dashboard</t>
  </si>
  <si>
    <t>Named ranges for RAG ratings above</t>
  </si>
  <si>
    <t>RAG ratings for each school</t>
  </si>
  <si>
    <t>Information for the 'RAG rating data for your school' look ups</t>
  </si>
  <si>
    <t>RAG rating text for dashboard</t>
  </si>
  <si>
    <t>*</t>
  </si>
  <si>
    <t>Info for comparison description</t>
  </si>
  <si>
    <t>Low</t>
  </si>
  <si>
    <t>Does the school have an appropriate business continuity or disaster recovery plan, including an up-to-date asset register and adequate insurance?</t>
  </si>
  <si>
    <t>D. Staffing</t>
  </si>
  <si>
    <r>
      <rPr>
        <b/>
        <sz val="12"/>
        <rFont val="Arial"/>
        <family val="2"/>
      </rPr>
      <t>Using the results from the dashboard</t>
    </r>
    <r>
      <rPr>
        <sz val="8"/>
        <rFont val="Arial"/>
        <family val="2"/>
      </rPr>
      <t xml:space="preserve">
</t>
    </r>
    <r>
      <rPr>
        <u/>
        <sz val="12"/>
        <color theme="4" tint="-0.249977111117893"/>
        <rFont val="Arial"/>
        <family val="2"/>
      </rPr>
      <t>Click here</t>
    </r>
    <r>
      <rPr>
        <sz val="12"/>
        <rFont val="Arial"/>
        <family val="2"/>
      </rPr>
      <t xml:space="preserve"> for explanations of what the red, amber and green (RAG) ratings mean and what do with the results.</t>
    </r>
  </si>
  <si>
    <t>The schools financial value standard helps to provide schools with assurance that they are meeting the basic standards necessary to achieve a good level of financial health and resource management. 
The tool can be used to identify possible areas for change to ensure that resources are being used to support high-quality teaching and the best education outcomes for pupils. The tool is in two parts:</t>
  </si>
  <si>
    <t>1. A checklist, which asks a number of questions of governing bodies in six areas of resource management to provide assurance that the school is managing its resources effectively.</t>
  </si>
  <si>
    <t>2. A dashboard, which shows how a school's data compares to thresholds on a range of statistics that have been identified as indicators for good resource management and outcomes.</t>
  </si>
  <si>
    <t>Outcome of schools financial value standard (SFVS)</t>
  </si>
  <si>
    <t>Chair of governing body / management committee</t>
  </si>
  <si>
    <t>Date SFVS submitted to local authority for review:</t>
  </si>
  <si>
    <r>
      <t xml:space="preserve">Guidance on completion of this document can be found </t>
    </r>
    <r>
      <rPr>
        <u/>
        <sz val="12"/>
        <color rgb="FF0070C0"/>
        <rFont val="Arial"/>
        <family val="2"/>
      </rPr>
      <t>here</t>
    </r>
    <r>
      <rPr>
        <sz val="12"/>
        <rFont val="Arial"/>
        <family val="2"/>
      </rPr>
      <t>. This guidance also includes examples of good practice and details further support available to assist governing bodies in addressing specific issues. Clicking on the individual questions below will also take you to the relevant section of the guidance.</t>
    </r>
  </si>
  <si>
    <t>Schools should answer each question with 'yes', 'no', or 'in part' from the drop down lists provided. They should provide comments, evidence and proposed actions for questions as appropriate.</t>
  </si>
  <si>
    <t>In the view of the governing body and senior staff, does the governing body have adequate financial skills among its members to fulfil its role of challenge and support in the field of budget management and value for money?</t>
  </si>
  <si>
    <t>Q1 guidance</t>
  </si>
  <si>
    <t>Does the governing body have a finance committee (or equivalent) with clear terms of reference and a knowledgeable and experienced chair?</t>
  </si>
  <si>
    <t>Q2 guidance</t>
  </si>
  <si>
    <t>Does the governing body board receive clear and concise monitoring reports of the school's budget position at least six times a year?</t>
  </si>
  <si>
    <t>Q3 guidance</t>
  </si>
  <si>
    <t>Are business interests of governing body members and staff properly registered and taken into account so as to avoid conflicts of interest?</t>
  </si>
  <si>
    <t>Q4 guidance</t>
  </si>
  <si>
    <t>Does the school have access to an adequate level of financial expertise, including when specialist finance staff are absent, e.g. on sick leave?</t>
  </si>
  <si>
    <t>Q5 guidance</t>
  </si>
  <si>
    <t>Does the school have a realistic, sustainable and flexible financial strategy in place for at least the next 3 years, based on realistic assumptions about future funding, pupil numbers and pressures?</t>
  </si>
  <si>
    <t>Q6 guidance</t>
  </si>
  <si>
    <t>Is the financial strategy integrated with the school’s strategy for raising standards and attainment?</t>
  </si>
  <si>
    <t>Q7 guidance</t>
  </si>
  <si>
    <t>Q8 guidance</t>
  </si>
  <si>
    <t>Does the school set a well-informed and balanced budget each year (with an agreed and timed plan for eliminating any deficit)?</t>
  </si>
  <si>
    <t>Q9 guidance</t>
  </si>
  <si>
    <t>Does the budget setting process allow sufficient time for the governing body to scrutinise and challenge the information provided?</t>
  </si>
  <si>
    <t>Q10 guidance</t>
  </si>
  <si>
    <t>Q11 guidance</t>
  </si>
  <si>
    <t>Is end year outturn in line with budget projections, or if not, is the governing body alerted to significant variations in a timely manner, and do such variations result from explicitly planned changes or from genuinely unforeseeable circumstances?</t>
  </si>
  <si>
    <t>Q12 guidance</t>
  </si>
  <si>
    <t>Are balances at a reasonable level and does the school have a clear plan for using the money it plans to hold in balance at the end of each year?</t>
  </si>
  <si>
    <t>Q13 guidance</t>
  </si>
  <si>
    <t xml:space="preserve">Does the school review and challenge its staffing structure regularly to ensure it is the best structure to meet the needs of the school whilst maintaining financial integrity? </t>
  </si>
  <si>
    <t>Q14 guidance</t>
  </si>
  <si>
    <t>Has the use of professional independent advice informed part of the pay decision process in relation to the head teacher and is it tightly correlated to strong educational outcomes and sound financial management?</t>
  </si>
  <si>
    <t>Q15 guidance</t>
  </si>
  <si>
    <t>Does the school benchmark the size of its senior leadership team annually against that of similar schools?</t>
  </si>
  <si>
    <t>Q16 guidance</t>
  </si>
  <si>
    <t>Does the school benchmark its income and expenditure annually against that of similar schools and investigate further where any category appears to be out of line?</t>
  </si>
  <si>
    <t>Q17 guidance</t>
  </si>
  <si>
    <t>Does the school have procedures for purchasing goods and services that both meet legal requirements and secure value for money?</t>
  </si>
  <si>
    <t>Q18 guidance</t>
  </si>
  <si>
    <t xml:space="preserve">Is the governing body given the opportunity to challenge the school’s plans for replacing contracts for goods and services that are due to expire shortly? </t>
  </si>
  <si>
    <t>Q19 guidance</t>
  </si>
  <si>
    <t>Does the School consider collaboration with others, e.g. on sharing staff or joint purchasing, where that would improve value for money?</t>
  </si>
  <si>
    <t>Q20 guidance</t>
  </si>
  <si>
    <t>Do you compare your non-staff expenditure against the DfE recommended national deals to ensure you are achieving best value?</t>
  </si>
  <si>
    <t>Q21 guidance</t>
  </si>
  <si>
    <t>Does the school maintain its premises and other assets to an adequate standard and make best use of capital monies for this purpose?</t>
  </si>
  <si>
    <t>Q22 guidance</t>
  </si>
  <si>
    <t>Is the governing body sure that there are no outstanding matters from audit reports, internal audit reports or from previous consideration of weaknesses by the governing body?</t>
  </si>
  <si>
    <t>Q23 guidance</t>
  </si>
  <si>
    <t>Q24 guidance</t>
  </si>
  <si>
    <t>Are there adequate arrangements in place to guard against fraud and theft by staff, contractors and suppliers? (Please note any instance of fraud or theft detected in the last 12 months)</t>
  </si>
  <si>
    <t>Q25 guidance</t>
  </si>
  <si>
    <t>Are all staff aware of the school’s whistleblowing arrangements and to whom they should report concerns?</t>
  </si>
  <si>
    <t>Q26 guidance</t>
  </si>
  <si>
    <t>Does the school have an accounting system that is adequate and properly run and delivers accurate reports, including the annual Consistent Financial Reporting return?</t>
  </si>
  <si>
    <t>Q27 guidance</t>
  </si>
  <si>
    <t>Does the school have adequate arrangements for audit of voluntary funds?</t>
  </si>
  <si>
    <t>Q28 guidance</t>
  </si>
  <si>
    <t>G. SFVS dashboard</t>
  </si>
  <si>
    <t>Have the results of the dashboard been carefully considered and potential follow-up actions identified?</t>
  </si>
  <si>
    <t>Q29 guidance</t>
  </si>
  <si>
    <r>
      <t>Schools should use the most up to date information available to them, and not rely on lagged published data.</t>
    </r>
    <r>
      <rPr>
        <sz val="10"/>
        <color theme="1"/>
        <rFont val="Arial"/>
        <family val="2"/>
      </rPr>
      <t xml:space="preserve">
</t>
    </r>
    <r>
      <rPr>
        <sz val="12"/>
        <color theme="1"/>
        <rFont val="Arial"/>
        <family val="2"/>
      </rPr>
      <t>All of the data should refer to the same financial year.</t>
    </r>
  </si>
  <si>
    <t>E01</t>
  </si>
  <si>
    <t>E02</t>
  </si>
  <si>
    <t>E03</t>
  </si>
  <si>
    <t>E04</t>
  </si>
  <si>
    <t>E05</t>
  </si>
  <si>
    <t>E06</t>
  </si>
  <si>
    <t>E07</t>
  </si>
  <si>
    <t>E08</t>
  </si>
  <si>
    <t>E09</t>
  </si>
  <si>
    <t>E12</t>
  </si>
  <si>
    <t>Building maintenance and improvement</t>
  </si>
  <si>
    <t>Grounds maintenance and improvement</t>
  </si>
  <si>
    <t>Rates</t>
  </si>
  <si>
    <t>E20</t>
  </si>
  <si>
    <t>Administrative supplies</t>
  </si>
  <si>
    <t>E27</t>
  </si>
  <si>
    <t>Bought-in professional services - curriculum</t>
  </si>
  <si>
    <t>Bought-in professional services - other</t>
  </si>
  <si>
    <t>Loan interest</t>
  </si>
  <si>
    <t>Direct revenue financing</t>
  </si>
  <si>
    <t>Community-focused school staff</t>
  </si>
  <si>
    <t>Community-focused school costs</t>
  </si>
  <si>
    <r>
      <rPr>
        <sz val="6"/>
        <color theme="1"/>
        <rFont val="Arial"/>
        <family val="2"/>
      </rPr>
      <t xml:space="preserve">
</t>
    </r>
    <r>
      <rPr>
        <b/>
        <sz val="12"/>
        <color theme="1"/>
        <rFont val="Arial"/>
        <family val="2"/>
      </rPr>
      <t>Using the dashboard</t>
    </r>
    <r>
      <rPr>
        <b/>
        <sz val="8"/>
        <color theme="1"/>
        <rFont val="Arial"/>
        <family val="2"/>
      </rPr>
      <t xml:space="preserve">
</t>
    </r>
    <r>
      <rPr>
        <sz val="12"/>
        <color theme="1"/>
        <rFont val="Arial"/>
        <family val="2"/>
      </rPr>
      <t>Schools should use the most up to date data available to them, and not rely on lagged published data.</t>
    </r>
    <r>
      <rPr>
        <b/>
        <sz val="4"/>
        <color theme="1"/>
        <rFont val="Arial"/>
        <family val="2"/>
      </rPr>
      <t xml:space="preserve">
</t>
    </r>
    <r>
      <rPr>
        <sz val="12"/>
        <color theme="1"/>
        <rFont val="Arial"/>
        <family val="2"/>
      </rPr>
      <t>Complete all highlighted cells</t>
    </r>
    <r>
      <rPr>
        <b/>
        <sz val="12"/>
        <color theme="1"/>
        <rFont val="Arial"/>
        <family val="2"/>
      </rPr>
      <t>.</t>
    </r>
  </si>
  <si>
    <r>
      <t>Effective resource management is about how a school uses its resources to drive outcomes for its pupils. A school can improve outcomes by using its resources more effectively.</t>
    </r>
    <r>
      <rPr>
        <sz val="4"/>
        <color theme="1"/>
        <rFont val="Arial"/>
        <family val="2"/>
      </rPr>
      <t xml:space="preserve">
</t>
    </r>
    <r>
      <rPr>
        <sz val="12"/>
        <color theme="1"/>
        <rFont val="Arial"/>
        <family val="2"/>
      </rPr>
      <t xml:space="preserve">The dashboard below is designed to help schools identify areas for improved resource management. It shows how a school compares to thresholds on a range of key indicators. </t>
    </r>
    <r>
      <rPr>
        <sz val="8"/>
        <color theme="1"/>
        <rFont val="Arial"/>
        <family val="2"/>
      </rPr>
      <t xml:space="preserve">
</t>
    </r>
    <r>
      <rPr>
        <sz val="12"/>
        <color theme="1"/>
        <rFont val="Arial"/>
        <family val="2"/>
      </rPr>
      <t>The completion of this assessment forms part of the annual schools financial value standard.</t>
    </r>
  </si>
  <si>
    <t>School LAEstab number:</t>
  </si>
  <si>
    <r>
      <rPr>
        <u/>
        <sz val="12"/>
        <color theme="4" tint="-0.249977111117893"/>
        <rFont val="Arial"/>
        <family val="2"/>
      </rPr>
      <t>Click here</t>
    </r>
    <r>
      <rPr>
        <sz val="12"/>
        <rFont val="Arial"/>
        <family val="2"/>
      </rPr>
      <t xml:space="preserve"> to see the RAG rating data for this school</t>
    </r>
  </si>
  <si>
    <t>A. Information about your school</t>
  </si>
  <si>
    <t>B. School strategy</t>
  </si>
  <si>
    <t>C. Setting the annual budget</t>
  </si>
  <si>
    <t>E. Value for money</t>
  </si>
  <si>
    <t xml:space="preserve">F. Protecting public money </t>
  </si>
  <si>
    <r>
      <t xml:space="preserve">This form can be used to input raw spend and characteristics information. If used, the information in this table will be used to calculate the percentages and ratios required in the dashboard. Alternatively, 
</t>
    </r>
    <r>
      <rPr>
        <u/>
        <sz val="12"/>
        <color theme="4" tint="-0.249977111117893"/>
        <rFont val="Arial"/>
        <family val="2"/>
      </rPr>
      <t>click here</t>
    </r>
    <r>
      <rPr>
        <sz val="12"/>
        <rFont val="Arial"/>
        <family val="2"/>
      </rPr>
      <t xml:space="preserve"> to input the percentages and ratios directly into the dashboard.</t>
    </r>
  </si>
  <si>
    <r>
      <t xml:space="preserve">Input the school's percentages and ratios directly below, or
</t>
    </r>
    <r>
      <rPr>
        <u/>
        <sz val="12"/>
        <color theme="4" tint="-0.249977111117893"/>
        <rFont val="Arial"/>
        <family val="2"/>
      </rPr>
      <t>click here</t>
    </r>
    <r>
      <rPr>
        <sz val="12"/>
        <rFont val="Arial"/>
        <family val="2"/>
      </rPr>
      <t xml:space="preserve"> to input raw spending and characteristics data for your school</t>
    </r>
  </si>
  <si>
    <r>
      <t xml:space="preserve">Either input the school's percentages and ratios directly, or complete the </t>
    </r>
    <r>
      <rPr>
        <u/>
        <sz val="12"/>
        <color theme="4" tint="-0.249977111117893"/>
        <rFont val="Arial"/>
        <family val="2"/>
      </rPr>
      <t>Optional - input raw data</t>
    </r>
    <r>
      <rPr>
        <sz val="12"/>
        <rFont val="Arial"/>
        <family val="2"/>
      </rPr>
      <t xml:space="preserve"> form with spending information and school characteristics. The percentages and ratios in the dashboard will then auto-calculate.</t>
    </r>
  </si>
  <si>
    <t>Spend on teaching staff as a percentage of total expenditure - 2018-19</t>
  </si>
  <si>
    <t>Spend on teaching staff as a percentage of total expenditure - 2019-20</t>
  </si>
  <si>
    <t>I'm entering data for the year:</t>
  </si>
  <si>
    <t>2018-19 (financial year)</t>
  </si>
  <si>
    <t>2019-20 (financial year)</t>
  </si>
  <si>
    <t>Average teacher cost (£) - 2018-19</t>
  </si>
  <si>
    <t>Average teacher cost (£) - 2019-20</t>
  </si>
  <si>
    <t>The checklist asks a number of questions of governing bodies in six areas of resource management to help provide assurance that resources are being managed effectively. 
The completion of this assessment forms part of the schools financial value standard. Your return must be submitted to your local authority.</t>
  </si>
  <si>
    <t>The RAG ratings have been calculated using maintained school and academy 2017 to 18 data.
The majority of metrics in the dashboard are percentages and ratios which at a national level don't change significantly year on year, so they still provide a fair and useful comparison with your up to date data.
However, to reflect pay awards and pension contributions changes, the underlying data on teaching staff spending and average teacher costs have been adjusted. The RAG ratings for spend on teaching staff as a percentage of total expenditure and average teacher costs include uplifts relating to the year you have selected. 
2017-18 : no uplift
2018-19 : 1.4% uplift to reflect the September 2018 pay award
2019-20 : 7.5% to also reflect the September 2019 pay award and September 2019 pensions contributions changes
2019/20 : 11.2% to reflect the September 2019 pay award and September 2019 pensions contributions changes</t>
  </si>
  <si>
    <t>Is the school realistic in its pupil number projections and can it move quickly to recast the budget if the projections and the reality are materially different?</t>
  </si>
  <si>
    <t>Schools financial value standard - dashboard</t>
  </si>
  <si>
    <t>Schools financial value standard</t>
  </si>
  <si>
    <t>Introduction to the schools financial value standard (SFVS)</t>
  </si>
  <si>
    <t>Spend on teaching staff as a percentage of total expenditure - 2020-21</t>
  </si>
  <si>
    <t>Spend on teaching staff as a percentage of total expenditure - 2020/21</t>
  </si>
  <si>
    <t>Average teacher cost (£) - 2020-21</t>
  </si>
  <si>
    <t>Average teacher cost (£) - 2020/21</t>
  </si>
  <si>
    <t>2020-21 (financial year)</t>
  </si>
  <si>
    <t>2020/21 (academic year) or later</t>
  </si>
  <si>
    <t>Yes</t>
  </si>
  <si>
    <t>All staff and governors have completed register of business interest during the year and the governors decleration of interest is published on the school website.  It is a standing item on all Governor meetings.</t>
  </si>
  <si>
    <t>In part</t>
  </si>
  <si>
    <t>Skills matrix is included in the MIFP. We have recently recruited a new Bursar into the role who is developing her skills.   Contingency cover would be provided by a neighbouring school administration team.</t>
  </si>
  <si>
    <t xml:space="preserve">We have a 3 year financial plan reviewed on a termly basis by the governing body.  Action to ensure the budget plan remains in balance is continually reviewed and remains consistent with the school development plan.  This year the budgets of the two schools in the Federation were combined into one budget to ease the sharing of resources and maintaining the overall picture.  </t>
  </si>
  <si>
    <t>The budget is an agenda item on each termly finance committee and full governing body meeting.  The 3 year forecast, after being reviewed at the Finance Committee, is presented to the full governing body for scrutiny at least a week prior to the meeting.</t>
  </si>
  <si>
    <t>Professional Independent review is included in the Head Teacher review.   This is managed by the Personnel Committee and put to Finance Committee for any changes to budget.</t>
  </si>
  <si>
    <t>Adopted CWAC's Financial Procurement Procedures.  This is recorded in the Manual of Internal Procedures together with clear written delegation limits and a signed Best Value Statement.  Staff have a number of tools at their disposal to ensure value for money in purchasing decisions.  The Local Authority has a list of approved suppliers.  Local knowledge between the two schools is shared because of the Shared Head and Shared Bursar.  All purchasing requests have to be processed through the school administrator which therefore acts as check in the purchasing process.  The Head Teacher is also very experienced at making best use of existing resources before making new purchases.</t>
  </si>
  <si>
    <t>The School has consulted with the Schools Buying Hub North West which is a free service offering independent procurement support and advice for schools funded by DFE</t>
  </si>
  <si>
    <t>The Manual of Internal Procesures outlines the controls in place to protect against fraud and theft.  Goods received are checked against goods received notes, expense claims are always counter signed by the Head.  There have been no instances of fraud or theft within the last 12 months.</t>
  </si>
  <si>
    <t>There are few transactions are through the voluntary fund as other cashless systems have been implemented over time.  This is audited by an external party each year.</t>
  </si>
  <si>
    <t xml:space="preserve">Antrobus St Marks &amp; Great Budworth </t>
  </si>
  <si>
    <t>8755204 / 8753104</t>
  </si>
  <si>
    <t>North West</t>
  </si>
  <si>
    <t>Antrobus St Marks Primary &amp; Great Budworth Primary</t>
  </si>
  <si>
    <t xml:space="preserve">A current full governing body skills audit was completed withing the last 12 months. There is currently one Governor vacancy.  in addition the finance skills matrix included in the MIFP.  Roles and responsibilites of the governing body are included in the MIFP.  </t>
  </si>
  <si>
    <t>The finance committee has an experienced Chair and is supported by Committee members with substantial finance experience within in Business and the Local Authority.  Clear terms of reference are agreed annually in the Autumn term.  The committee meets termly after other all other committees have met and prior to the full governing body.</t>
  </si>
  <si>
    <t>We monitor regularly and have a budget review 3 times a year with LA.  The finance committee meets 3 times a year, followed by the full governing body 3 times a year.  We minute relevant challenges and actions in any meeting.  The School receives interim reports and the HT/Bursar would highlight any anomolies to the Finance committee between meetings.</t>
  </si>
  <si>
    <t xml:space="preserve">The School Strategic Improvement Plan (SIP) provides the building block for the budget.  The SIP includes costs that are used to help formulate the budget including staffing, training and resources.  The SIP is a three year plan although the costs are only for the current year due to possible future changes to the Strategic Improvement Plan.  </t>
  </si>
  <si>
    <t>The school has a Critical Incident Policy, adequate insurance and an asset register.  We would like a better process to maintain the asset register going forward.</t>
  </si>
  <si>
    <t>We have a balanced budget agreed, actions and challenges are discussed are discussed at the termly meeting with the Budget Officer and then communicated.  Firstly reviewed at the Finance Committee and then with the Full Governing Body.  Actions and Suggestions are made to support maintaining a balanced budget going forward.</t>
  </si>
  <si>
    <t>The school uses the Pupil Admission Numbers to forecast pupil entry. Pupil number changes are discussed first at the Budget Review meeting and at the Finance Committee meeting termly.   Impact on the budget is reviewed at that stage and where changes in other lines can made where necessary to manage the budget.</t>
  </si>
  <si>
    <t>The budget is monitored on a monthly basis by the Bursar using the web reports.  Variances from the budget are highlighted at the CWAC budget meeting and reviewed at the finance committee meeting.   Explanations are sought to understand any significant changes whether expected or unexpected due to external impacts.</t>
  </si>
  <si>
    <t>Detailed discussions take place during the termly budget review meetings which checks that Federation of the two schools is in balance and to maintain a positive carry forward.  This is our first year with One Budget for the Federation which is working well.   A level of individual school details are kept locally to support the management across the two schools.</t>
  </si>
  <si>
    <t>Staffing structure is regularly reviewed in line with budget discussions and particularly meeting the needs of the children. Any suggested changes or options to class structure or personnel are presented to Full Governing Body for review, challenge and approval.</t>
  </si>
  <si>
    <t>The regular Benchmarking data is not easily and directly comparable to our schools.  We do take note of the other schools in the local area and obviously compare between the two schools of the Federation.   The data from this SFVS review is also useful to highlight areas to check and inspect.</t>
  </si>
  <si>
    <t>As above, the Benchmarking data we receive is not always directly useful.  We do spend time in the termly meeting with the CWAC Budget officer to gauge our performance compared to other local schools.  We will also take note of the ratings shown in this SFVS analysis.</t>
  </si>
  <si>
    <t>Renewal dates for contracts are raised at the relevant Premises or Finance Committee meetings and at the termly budget meetings.   Where possible, better deals across the two schools are considered.  For a major decision the bursar will bring proposals to the attention of the Finance Chair, School Governor Chair and  Head teacher.  Also discussed at the termly Budget Meeting.</t>
  </si>
  <si>
    <t>Following successful Collaboration of the two schools we have been operating as a Federation with one Governing Body since 2018 and now with one budget.  Purchasing decisions and plans are challenged to look for most cost effective solutions, e.g. aiming towards using the same supplier where there is of benefit to both schools.</t>
  </si>
  <si>
    <t>The Premises Committee takes the primary role in overseeing the school facilities, assets and standards in the building.   A Premises walk around is completed at each school, each term, by Chair of Premises and Head Teacher.  Maintenance issues are discussed and planned with the Head Teacher.  If extra funds are requested, outside of regular maintenance monies, this will be raised at the next Finance meeting.</t>
  </si>
  <si>
    <t>Minutes and reports from audits or inspections are shared with the Governors, firstly at the relevant committee, prior to the Full Governing Body.   We are not aware of any outstanding issues currently.  The Ofsted inspections were 'Good' in both schools.  The SIAMS inspections were 'Outstanding' in both schools.  Inspections likely to be due again within the next year or two.</t>
  </si>
  <si>
    <t>MIFP in working repository for the policies and procedures.  The MIFP covers all the processes within the schools.  At each Governor meeting any related pecurinary interests are declared and noted and also recorded on the School website.</t>
  </si>
  <si>
    <t>The Whistleblowing Policy is included within the Staff Handbook which all staff are required to read.  It is filed in the Head's office and also on the intranet.  It is recorded that initially reports should be made to the Head, or escalating to Governing Body if necessary.  The policy is on display in the staff room and staff washrooms.  All staff are made aware of the policy.  The policy has been reviewed in March 2021 within the MIFP.</t>
  </si>
  <si>
    <t>We use the CWAC accounting sysytems (inc. Oracle, procurement systems and web reports). This is being replaced by the Best For Business Unit 4 programme. Reporting can now be completed fluidly, with budget vs actual available at all times. This is reviewed by the Head, Bursar and Chair of Finance Committee and at Full Governors.  The Consistent Financial reporting return is produced annually and is filed.</t>
  </si>
  <si>
    <t>We have reviewed the Dashboard and there are areas for us to be aware of regarding Contact Ratios, Teacher to Pupil and Adult to Pupil Ratios.  The HT feels this may be affected by the sharing of Teacher resources and Subject Leadership across the two schools and time to transfer between the two sites.   There has been increase in SEND, EHCP and more need for ELSA due to Covid impact which may have affected these numbers.  Class sizes are small especially KS2 at ASM and EYFS at GB.   With regard to In-year deficit in the Budget we review this each term.   We keep a watch on Pupil numbers as there has been some changes in this area which can give a significant impact on smaller school setting.  We are aware that the Teacher Cost is on the higher side due to the number of more experienced Teachers in the school currently.</t>
  </si>
  <si>
    <t>Mrs T Nixon</t>
  </si>
  <si>
    <t>Date SFVS agreed by full governing body / management committee</t>
  </si>
  <si>
    <t xml:space="preserve"> May 2021</t>
  </si>
  <si>
    <t xml:space="preserve">We are in our first year of a Single Financial Budget for the Federation, which we feel is working well so far, and will review benefits or concerns at the end of the year. Our current Head Teacher is retiring at the end of Summer Term and we have offered the post to a new Head Teacher.   We will be working closely with her as she steps into the school.  From Checklist No 29:  "We have reviewed the Dashboard and there are areas for us to be aware of regarding Contact Ratios, Teacher to Pupil and Adult to Pupil Ratios.  The HT feels this may be affected by the sharing of Teacher resources and Subject Leadership across the two schools and time to transfer between the two sites.   There has been increase in SEND, EHCP and more need for ELSA due to Covid impact which may have affected these numbers.  Class sizes are small especially KS2 at ASM and EYFS at GB.   With regard to In-year deficit in the Budget we review this each term.   We keep a watch on Pupil numbers as there has been some changes in this area which can give a significant impact on smaller school setting.  We are aware that the Teacher Cost is on the higher side due to the number of more experienced Teachers in the school currently".                                                                                                                                 From the Dashboard:-  The most critical Actions going forward are our involvements as a Governing Body :-   On-Going Actions.                                                                                                                      To support the Current and the New Head Teacher when she comes into post.                                                                                                                                        To continue to focus on Pupil Numbers across the schools and support the school in ideas to promote the schools to attract new families.                                                                To consider any HT proposals for the best options for Staffing &amp; Resourcing and Class Sizes.                                                                                                            To continue to scrutinise the Budget each term and encourage maintaining a balanced budget whilst keeping the children and staff best interests at heart.                                                                                                                                                                                                                                                  From the Checklist detail:- With the new Bursar now in post, to devise a process for the Governors to evidence that the budget is reviewed 6 times per year as requested.  We do feel it is open and in control but our structure currently works termly.   To review the Asset log procedure and understand how that is best maintained in real-time.    Review duing 2021/22 for SFVS 2022.                                                                                                                                                        Due to Covid all Finance related meetings have been held virtually since March 2020 and therefore SFVS statement review/approval over Email.                                                                                    </t>
  </si>
  <si>
    <t>Progress tests not available this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</si>
</sst>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quot;£&quot;#,##0"/>
    <numFmt numFmtId="167" formatCode="#,##0.0"/>
    <numFmt numFmtId="168" formatCode="0.000"/>
  </numFmts>
  <fonts count="36" x14ac:knownFonts="1">
    <font>
      <sz val="11"/>
      <color theme="1"/>
      <name val="Calibri"/>
      <family val="2"/>
      <scheme val="minor"/>
    </font>
    <font>
      <sz val="11"/>
      <color theme="1"/>
      <name val="Calibri"/>
      <family val="2"/>
      <scheme val="minor"/>
    </font>
    <font>
      <sz val="11"/>
      <color theme="1"/>
      <name val="Arial"/>
      <family val="2"/>
    </font>
    <font>
      <b/>
      <sz val="16"/>
      <color theme="0"/>
      <name val="Arial"/>
      <family val="2"/>
    </font>
    <font>
      <b/>
      <sz val="11"/>
      <color theme="1"/>
      <name val="Arial"/>
      <family val="2"/>
    </font>
    <font>
      <b/>
      <sz val="14"/>
      <color theme="1"/>
      <name val="Arial"/>
      <family val="2"/>
    </font>
    <font>
      <sz val="12"/>
      <name val="Arial"/>
      <family val="2"/>
    </font>
    <font>
      <b/>
      <sz val="12"/>
      <color theme="1"/>
      <name val="Arial"/>
      <family val="2"/>
    </font>
    <font>
      <sz val="12"/>
      <color theme="1"/>
      <name val="Arial"/>
      <family val="2"/>
    </font>
    <font>
      <b/>
      <sz val="12"/>
      <color rgb="FFFF0000"/>
      <name val="Arial"/>
      <family val="2"/>
    </font>
    <font>
      <b/>
      <sz val="12"/>
      <color theme="0"/>
      <name val="Arial"/>
      <family val="2"/>
    </font>
    <font>
      <u/>
      <sz val="11"/>
      <color theme="10"/>
      <name val="Calibri"/>
      <family val="2"/>
      <scheme val="minor"/>
    </font>
    <font>
      <u/>
      <sz val="12"/>
      <color theme="10"/>
      <name val="Arial"/>
      <family val="2"/>
    </font>
    <font>
      <u/>
      <sz val="12"/>
      <color rgb="FF0070C0"/>
      <name val="Arial"/>
      <family val="2"/>
    </font>
    <font>
      <i/>
      <sz val="12"/>
      <color theme="1"/>
      <name val="Arial"/>
      <family val="2"/>
    </font>
    <font>
      <sz val="12"/>
      <color theme="0" tint="-0.499984740745262"/>
      <name val="Arial"/>
      <family val="2"/>
    </font>
    <font>
      <sz val="11"/>
      <color rgb="FFFF0000"/>
      <name val="Arial"/>
      <family val="2"/>
    </font>
    <font>
      <u/>
      <sz val="12"/>
      <color theme="1"/>
      <name val="Arial"/>
      <family val="2"/>
    </font>
    <font>
      <strike/>
      <sz val="11"/>
      <color theme="1"/>
      <name val="Arial"/>
      <family val="2"/>
    </font>
    <font>
      <sz val="12"/>
      <color theme="0"/>
      <name val="Arial"/>
      <family val="2"/>
    </font>
    <font>
      <sz val="4"/>
      <color theme="1"/>
      <name val="Arial"/>
      <family val="2"/>
    </font>
    <font>
      <u/>
      <sz val="12"/>
      <color theme="4" tint="-0.249977111117893"/>
      <name val="Arial"/>
      <family val="2"/>
    </font>
    <font>
      <b/>
      <sz val="4"/>
      <color theme="1"/>
      <name val="Arial"/>
      <family val="2"/>
    </font>
    <font>
      <b/>
      <sz val="12"/>
      <name val="Arial"/>
      <family val="2"/>
    </font>
    <font>
      <sz val="11"/>
      <color theme="0"/>
      <name val="Arial"/>
      <family val="2"/>
    </font>
    <font>
      <b/>
      <sz val="11"/>
      <color theme="0"/>
      <name val="Arial"/>
      <family val="2"/>
    </font>
    <font>
      <sz val="11"/>
      <name val="Arial"/>
      <family val="2"/>
    </font>
    <font>
      <sz val="11"/>
      <color theme="0" tint="-0.499984740745262"/>
      <name val="Arial"/>
      <family val="2"/>
    </font>
    <font>
      <sz val="10"/>
      <name val="Arial"/>
      <family val="2"/>
    </font>
    <font>
      <b/>
      <sz val="8"/>
      <color theme="1"/>
      <name val="Arial"/>
      <family val="2"/>
    </font>
    <font>
      <sz val="10"/>
      <color theme="1"/>
      <name val="Arial"/>
      <family val="2"/>
    </font>
    <font>
      <sz val="6"/>
      <color theme="1"/>
      <name val="Arial"/>
      <family val="2"/>
    </font>
    <font>
      <sz val="8"/>
      <name val="Arial"/>
      <family val="2"/>
    </font>
    <font>
      <sz val="8"/>
      <color theme="1"/>
      <name val="Arial"/>
      <family val="2"/>
    </font>
    <font>
      <sz val="14"/>
      <color theme="1"/>
      <name val="Arial"/>
      <family val="2"/>
    </font>
    <font>
      <sz val="8"/>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104F75"/>
        <bgColor indexed="64"/>
      </patternFill>
    </fill>
    <fill>
      <patternFill patternType="solid">
        <fgColor rgb="FFE8D3D4"/>
        <bgColor indexed="64"/>
      </patternFill>
    </fill>
    <fill>
      <patternFill patternType="solid">
        <fgColor rgb="FFED878E"/>
        <bgColor indexed="64"/>
      </patternFill>
    </fill>
    <fill>
      <patternFill patternType="solid">
        <fgColor rgb="FFC0DDAD"/>
        <bgColor indexed="64"/>
      </patternFill>
    </fill>
    <fill>
      <patternFill patternType="solid">
        <fgColor rgb="FFFFD961"/>
        <bgColor indexed="64"/>
      </patternFill>
    </fill>
    <fill>
      <patternFill patternType="solid">
        <fgColor rgb="FF73B04A"/>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363">
    <xf numFmtId="0" fontId="0" fillId="0" borderId="0" xfId="0"/>
    <xf numFmtId="0" fontId="2" fillId="0" borderId="0" xfId="0" applyFont="1" applyProtection="1">
      <protection hidden="1"/>
    </xf>
    <xf numFmtId="0" fontId="2" fillId="0" borderId="12" xfId="0" applyFont="1" applyBorder="1" applyProtection="1">
      <protection hidden="1"/>
    </xf>
    <xf numFmtId="0" fontId="2" fillId="0" borderId="13" xfId="0" applyFont="1" applyBorder="1" applyProtection="1">
      <protection hidden="1"/>
    </xf>
    <xf numFmtId="0" fontId="2" fillId="0" borderId="14" xfId="0" applyFont="1" applyBorder="1" applyProtection="1">
      <protection hidden="1"/>
    </xf>
    <xf numFmtId="0" fontId="2" fillId="0" borderId="0" xfId="0" applyFont="1" applyBorder="1" applyProtection="1">
      <protection hidden="1"/>
    </xf>
    <xf numFmtId="0" fontId="2" fillId="0" borderId="15" xfId="0" applyFont="1" applyBorder="1" applyProtection="1">
      <protection hidden="1"/>
    </xf>
    <xf numFmtId="0" fontId="2" fillId="0" borderId="16" xfId="0" applyFont="1" applyBorder="1" applyProtection="1">
      <protection hidden="1"/>
    </xf>
    <xf numFmtId="0" fontId="2" fillId="0" borderId="16" xfId="0" applyFont="1" applyBorder="1" applyAlignment="1" applyProtection="1">
      <alignment horizontal="left"/>
      <protection hidden="1"/>
    </xf>
    <xf numFmtId="0" fontId="8" fillId="0" borderId="0" xfId="0" applyFont="1" applyBorder="1" applyProtection="1">
      <protection hidden="1"/>
    </xf>
    <xf numFmtId="0" fontId="8" fillId="0" borderId="0" xfId="0" applyFont="1" applyBorder="1" applyAlignment="1" applyProtection="1">
      <alignment horizontal="right" indent="1"/>
      <protection hidden="1"/>
    </xf>
    <xf numFmtId="0" fontId="2" fillId="0" borderId="17" xfId="0" applyFont="1" applyBorder="1" applyProtection="1">
      <protection hidden="1"/>
    </xf>
    <xf numFmtId="0" fontId="2" fillId="0" borderId="18" xfId="0" applyFont="1" applyBorder="1" applyProtection="1">
      <protection hidden="1"/>
    </xf>
    <xf numFmtId="0" fontId="2" fillId="0" borderId="19" xfId="0" applyFont="1" applyBorder="1" applyProtection="1">
      <protection hidden="1"/>
    </xf>
    <xf numFmtId="0" fontId="8" fillId="0" borderId="15" xfId="0" applyFont="1" applyBorder="1" applyProtection="1">
      <protection hidden="1"/>
    </xf>
    <xf numFmtId="0" fontId="8" fillId="0" borderId="16" xfId="0" applyFont="1" applyBorder="1" applyProtection="1">
      <protection hidden="1"/>
    </xf>
    <xf numFmtId="0" fontId="8" fillId="0" borderId="0" xfId="0" applyFont="1" applyProtection="1">
      <protection hidden="1"/>
    </xf>
    <xf numFmtId="0" fontId="8" fillId="0" borderId="15" xfId="0" applyFont="1" applyBorder="1" applyAlignment="1" applyProtection="1">
      <alignment vertical="center"/>
      <protection hidden="1"/>
    </xf>
    <xf numFmtId="0" fontId="8" fillId="0" borderId="16" xfId="0" applyFont="1" applyBorder="1" applyAlignment="1" applyProtection="1">
      <alignment vertical="center"/>
      <protection hidden="1"/>
    </xf>
    <xf numFmtId="0" fontId="8" fillId="0" borderId="0" xfId="0" applyFont="1" applyAlignment="1" applyProtection="1">
      <alignment vertical="center"/>
      <protection hidden="1"/>
    </xf>
    <xf numFmtId="0" fontId="8" fillId="0" borderId="21" xfId="0" quotePrefix="1" applyFont="1" applyBorder="1" applyAlignment="1" applyProtection="1">
      <alignment horizontal="left" vertical="center"/>
      <protection hidden="1"/>
    </xf>
    <xf numFmtId="10" fontId="8" fillId="0" borderId="0" xfId="0" applyNumberFormat="1" applyFont="1" applyProtection="1">
      <protection hidden="1"/>
    </xf>
    <xf numFmtId="0" fontId="8" fillId="0" borderId="21" xfId="0" applyFont="1" applyBorder="1" applyAlignment="1" applyProtection="1">
      <alignment horizontal="left" vertical="center"/>
      <protection hidden="1"/>
    </xf>
    <xf numFmtId="0" fontId="8" fillId="0" borderId="17" xfId="0" applyFont="1" applyBorder="1" applyAlignment="1" applyProtection="1">
      <alignment horizontal="left" vertical="center" wrapText="1"/>
      <protection hidden="1"/>
    </xf>
    <xf numFmtId="0" fontId="8" fillId="0" borderId="20"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18" xfId="0" applyFont="1" applyBorder="1" applyProtection="1">
      <protection hidden="1"/>
    </xf>
    <xf numFmtId="164" fontId="8" fillId="0" borderId="20" xfId="0" applyNumberFormat="1" applyFont="1" applyBorder="1" applyAlignment="1" applyProtection="1">
      <alignment horizontal="center" vertical="center"/>
      <protection hidden="1"/>
    </xf>
    <xf numFmtId="164" fontId="8" fillId="0" borderId="18" xfId="0" applyNumberFormat="1" applyFont="1" applyBorder="1" applyAlignment="1" applyProtection="1">
      <alignment horizontal="right" indent="1"/>
      <protection hidden="1"/>
    </xf>
    <xf numFmtId="0" fontId="8" fillId="0" borderId="18" xfId="0" applyFont="1" applyBorder="1" applyAlignment="1" applyProtection="1">
      <alignment horizontal="center" vertical="center"/>
      <protection hidden="1"/>
    </xf>
    <xf numFmtId="0" fontId="8" fillId="0" borderId="19" xfId="0" applyFont="1" applyBorder="1" applyProtection="1">
      <protection hidden="1"/>
    </xf>
    <xf numFmtId="10" fontId="2" fillId="0" borderId="0" xfId="0" applyNumberFormat="1" applyFont="1" applyProtection="1">
      <protection hidden="1"/>
    </xf>
    <xf numFmtId="0" fontId="2" fillId="0" borderId="15" xfId="0" applyFont="1" applyBorder="1" applyAlignment="1" applyProtection="1">
      <alignment horizontal="left" vertical="center"/>
      <protection hidden="1"/>
    </xf>
    <xf numFmtId="0" fontId="2" fillId="0" borderId="16"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164" fontId="8" fillId="0" borderId="18" xfId="0" applyNumberFormat="1" applyFont="1" applyBorder="1" applyAlignment="1" applyProtection="1">
      <alignment horizontal="center" vertical="center"/>
      <protection hidden="1"/>
    </xf>
    <xf numFmtId="0" fontId="8" fillId="0" borderId="0" xfId="0" applyFont="1" applyBorder="1" applyAlignment="1" applyProtection="1">
      <alignment horizontal="left" vertical="center" indent="1"/>
      <protection hidden="1"/>
    </xf>
    <xf numFmtId="0" fontId="12" fillId="0" borderId="0" xfId="2" applyFont="1" applyBorder="1" applyAlignment="1" applyProtection="1">
      <alignment horizontal="left" vertical="center"/>
      <protection locked="0" hidden="1"/>
    </xf>
    <xf numFmtId="0" fontId="7" fillId="0" borderId="0" xfId="0" applyFont="1" applyBorder="1" applyAlignment="1" applyProtection="1">
      <alignment horizontal="left" vertical="center"/>
      <protection hidden="1"/>
    </xf>
    <xf numFmtId="0" fontId="8" fillId="0" borderId="0" xfId="0" applyFont="1"/>
    <xf numFmtId="0" fontId="8" fillId="0" borderId="0" xfId="0" applyFont="1" applyAlignment="1">
      <alignment vertical="center"/>
    </xf>
    <xf numFmtId="0" fontId="8" fillId="0" borderId="0" xfId="0" applyFont="1" applyAlignment="1">
      <alignment horizontal="left" vertical="center" indent="1"/>
    </xf>
    <xf numFmtId="0" fontId="8" fillId="0" borderId="21" xfId="0" applyFont="1" applyBorder="1" applyAlignment="1">
      <alignment horizontal="center" vertical="center"/>
    </xf>
    <xf numFmtId="0" fontId="8" fillId="0" borderId="12" xfId="0" applyFont="1" applyBorder="1"/>
    <xf numFmtId="0" fontId="8" fillId="0" borderId="13" xfId="0" applyFont="1" applyBorder="1"/>
    <xf numFmtId="0" fontId="8" fillId="0" borderId="14" xfId="0" applyFont="1" applyBorder="1"/>
    <xf numFmtId="0" fontId="8" fillId="0" borderId="15" xfId="0" applyFont="1" applyBorder="1"/>
    <xf numFmtId="0" fontId="8" fillId="0" borderId="16" xfId="0" applyFont="1" applyBorder="1"/>
    <xf numFmtId="0" fontId="8" fillId="0" borderId="0" xfId="0" applyFont="1" applyBorder="1"/>
    <xf numFmtId="0" fontId="8" fillId="0" borderId="15"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horizontal="left" vertical="center" indent="1"/>
    </xf>
    <xf numFmtId="0" fontId="8" fillId="0" borderId="17" xfId="0" applyFont="1" applyBorder="1"/>
    <xf numFmtId="0" fontId="8" fillId="0" borderId="18" xfId="0" applyFont="1" applyBorder="1"/>
    <xf numFmtId="0" fontId="8" fillId="0" borderId="19" xfId="0" applyFont="1" applyBorder="1"/>
    <xf numFmtId="0" fontId="10" fillId="3" borderId="0" xfId="0" applyFont="1" applyFill="1" applyAlignment="1">
      <alignment vertical="center"/>
    </xf>
    <xf numFmtId="0" fontId="10" fillId="3" borderId="0" xfId="0" applyFont="1" applyFill="1" applyBorder="1" applyAlignment="1">
      <alignment vertical="center"/>
    </xf>
    <xf numFmtId="0" fontId="14" fillId="0" borderId="0" xfId="0" applyFont="1" applyBorder="1" applyAlignment="1">
      <alignment vertical="center"/>
    </xf>
    <xf numFmtId="0" fontId="8" fillId="0" borderId="0" xfId="0" applyFont="1" applyAlignment="1">
      <alignment horizontal="center"/>
    </xf>
    <xf numFmtId="0" fontId="7" fillId="0" borderId="0" xfId="0" applyFont="1" applyAlignment="1">
      <alignment horizontal="left"/>
    </xf>
    <xf numFmtId="0" fontId="8" fillId="0" borderId="0" xfId="0" applyFont="1" applyAlignment="1">
      <alignment horizontal="left"/>
    </xf>
    <xf numFmtId="0" fontId="7"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vertical="center" wrapText="1"/>
    </xf>
    <xf numFmtId="0" fontId="8" fillId="0" borderId="1" xfId="0" applyFont="1" applyBorder="1" applyAlignment="1">
      <alignment horizontal="left" indent="1"/>
    </xf>
    <xf numFmtId="164" fontId="8" fillId="5" borderId="21" xfId="1" applyNumberFormat="1" applyFont="1" applyFill="1" applyBorder="1"/>
    <xf numFmtId="164" fontId="8" fillId="7" borderId="21" xfId="1" applyNumberFormat="1" applyFont="1" applyFill="1" applyBorder="1"/>
    <xf numFmtId="164" fontId="6" fillId="8" borderId="21" xfId="1" applyNumberFormat="1" applyFont="1" applyFill="1" applyBorder="1"/>
    <xf numFmtId="164" fontId="15" fillId="0" borderId="21" xfId="1" applyNumberFormat="1" applyFont="1" applyFill="1" applyBorder="1"/>
    <xf numFmtId="0" fontId="8" fillId="0" borderId="1" xfId="0" applyFont="1" applyFill="1" applyBorder="1" applyAlignment="1">
      <alignment horizontal="left" indent="1"/>
    </xf>
    <xf numFmtId="165" fontId="8" fillId="5" borderId="21" xfId="0" applyNumberFormat="1" applyFont="1" applyFill="1" applyBorder="1"/>
    <xf numFmtId="165" fontId="8" fillId="7" borderId="21" xfId="0" applyNumberFormat="1" applyFont="1" applyFill="1" applyBorder="1"/>
    <xf numFmtId="165" fontId="6" fillId="8" borderId="21" xfId="1" applyNumberFormat="1" applyFont="1" applyFill="1" applyBorder="1" applyAlignment="1">
      <alignment horizontal="right"/>
    </xf>
    <xf numFmtId="165" fontId="15" fillId="0" borderId="21" xfId="1" applyNumberFormat="1" applyFont="1" applyFill="1" applyBorder="1" applyAlignment="1">
      <alignment horizontal="right"/>
    </xf>
    <xf numFmtId="3" fontId="8" fillId="0" borderId="0" xfId="0" applyNumberFormat="1" applyFont="1" applyAlignment="1">
      <alignment horizontal="center"/>
    </xf>
    <xf numFmtId="0" fontId="8" fillId="0" borderId="0" xfId="0" applyFont="1" applyFill="1" applyAlignment="1">
      <alignment horizontal="center"/>
    </xf>
    <xf numFmtId="0" fontId="8" fillId="0" borderId="0" xfId="0" quotePrefix="1" applyFont="1"/>
    <xf numFmtId="166" fontId="8" fillId="5" borderId="21" xfId="0" applyNumberFormat="1" applyFont="1" applyFill="1" applyBorder="1"/>
    <xf numFmtId="166" fontId="8" fillId="7" borderId="21" xfId="0" applyNumberFormat="1" applyFont="1" applyFill="1" applyBorder="1"/>
    <xf numFmtId="166" fontId="6" fillId="8" borderId="21" xfId="1" applyNumberFormat="1" applyFont="1" applyFill="1" applyBorder="1"/>
    <xf numFmtId="166" fontId="15" fillId="0" borderId="21" xfId="1" applyNumberFormat="1" applyFont="1" applyFill="1" applyBorder="1"/>
    <xf numFmtId="167" fontId="8" fillId="4" borderId="21" xfId="0" applyNumberFormat="1" applyFont="1" applyFill="1" applyBorder="1" applyAlignment="1" applyProtection="1">
      <alignment horizontal="right" vertical="center" indent="1"/>
      <protection locked="0"/>
    </xf>
    <xf numFmtId="166" fontId="8" fillId="4" borderId="21" xfId="0" applyNumberFormat="1" applyFont="1" applyFill="1" applyBorder="1" applyAlignment="1" applyProtection="1">
      <alignment horizontal="right" vertical="center" indent="1"/>
      <protection locked="0"/>
    </xf>
    <xf numFmtId="3" fontId="8" fillId="4" borderId="21" xfId="0" applyNumberFormat="1" applyFont="1" applyFill="1" applyBorder="1" applyAlignment="1" applyProtection="1">
      <alignment horizontal="right" vertical="center" indent="1"/>
      <protection locked="0"/>
    </xf>
    <xf numFmtId="0" fontId="8" fillId="0" borderId="4" xfId="0" applyFont="1" applyBorder="1" applyProtection="1">
      <protection hidden="1"/>
    </xf>
    <xf numFmtId="0" fontId="7" fillId="0" borderId="6" xfId="0" applyFont="1" applyBorder="1" applyAlignment="1" applyProtection="1">
      <alignment horizontal="right" indent="1"/>
      <protection hidden="1"/>
    </xf>
    <xf numFmtId="0" fontId="7" fillId="0" borderId="5" xfId="0" applyFont="1" applyBorder="1" applyAlignment="1" applyProtection="1">
      <alignment horizontal="right" indent="1"/>
      <protection hidden="1"/>
    </xf>
    <xf numFmtId="0" fontId="8" fillId="0" borderId="5" xfId="0" applyFont="1" applyBorder="1" applyProtection="1">
      <protection hidden="1"/>
    </xf>
    <xf numFmtId="0" fontId="7" fillId="0" borderId="9" xfId="0" applyFont="1" applyBorder="1" applyProtection="1">
      <protection hidden="1"/>
    </xf>
    <xf numFmtId="0" fontId="8" fillId="0" borderId="11" xfId="0" applyFont="1" applyBorder="1" applyProtection="1">
      <protection hidden="1"/>
    </xf>
    <xf numFmtId="0" fontId="8" fillId="0" borderId="10" xfId="0" applyFont="1" applyBorder="1" applyProtection="1">
      <protection hidden="1"/>
    </xf>
    <xf numFmtId="0" fontId="7" fillId="0" borderId="10" xfId="0" applyFont="1" applyBorder="1" applyProtection="1">
      <protection hidden="1"/>
    </xf>
    <xf numFmtId="0" fontId="8" fillId="0" borderId="4" xfId="0" applyFont="1" applyFill="1" applyBorder="1" applyProtection="1">
      <protection hidden="1"/>
    </xf>
    <xf numFmtId="0" fontId="7" fillId="0" borderId="5" xfId="0" applyFont="1" applyFill="1" applyBorder="1" applyAlignment="1" applyProtection="1">
      <alignment horizontal="right" indent="1"/>
      <protection hidden="1"/>
    </xf>
    <xf numFmtId="0" fontId="8" fillId="0" borderId="5" xfId="0" applyFont="1" applyFill="1" applyBorder="1" applyProtection="1">
      <protection hidden="1"/>
    </xf>
    <xf numFmtId="0" fontId="7" fillId="0" borderId="6" xfId="0" applyFont="1" applyFill="1" applyBorder="1" applyAlignment="1" applyProtection="1">
      <alignment horizontal="right" indent="1"/>
      <protection hidden="1"/>
    </xf>
    <xf numFmtId="0" fontId="8" fillId="0" borderId="9" xfId="0" applyFont="1" applyBorder="1" applyProtection="1">
      <protection hidden="1"/>
    </xf>
    <xf numFmtId="0" fontId="8" fillId="0" borderId="0" xfId="0" applyFont="1" applyFill="1" applyProtection="1">
      <protection hidden="1"/>
    </xf>
    <xf numFmtId="0" fontId="8" fillId="0" borderId="11" xfId="0" applyFont="1" applyFill="1" applyBorder="1" applyProtection="1">
      <protection hidden="1"/>
    </xf>
    <xf numFmtId="0" fontId="8" fillId="0" borderId="9" xfId="0" applyFont="1" applyFill="1" applyBorder="1" applyProtection="1">
      <protection hidden="1"/>
    </xf>
    <xf numFmtId="0" fontId="8" fillId="0" borderId="10" xfId="0" applyFont="1" applyFill="1" applyBorder="1" applyProtection="1">
      <protection hidden="1"/>
    </xf>
    <xf numFmtId="0" fontId="7" fillId="0" borderId="10" xfId="0" applyFont="1" applyFill="1" applyBorder="1" applyProtection="1">
      <protection hidden="1"/>
    </xf>
    <xf numFmtId="166" fontId="7" fillId="0" borderId="6" xfId="0" applyNumberFormat="1" applyFont="1" applyBorder="1" applyAlignment="1" applyProtection="1">
      <alignment horizontal="right" indent="1"/>
      <protection hidden="1"/>
    </xf>
    <xf numFmtId="166" fontId="7" fillId="0" borderId="5" xfId="0" applyNumberFormat="1" applyFont="1" applyBorder="1" applyAlignment="1" applyProtection="1">
      <alignment horizontal="right" indent="1"/>
      <protection hidden="1"/>
    </xf>
    <xf numFmtId="166" fontId="7" fillId="0" borderId="11" xfId="0" applyNumberFormat="1" applyFont="1" applyBorder="1" applyAlignment="1" applyProtection="1">
      <alignment horizontal="right" indent="1"/>
      <protection hidden="1"/>
    </xf>
    <xf numFmtId="166" fontId="7" fillId="0" borderId="10" xfId="0" applyNumberFormat="1" applyFont="1" applyBorder="1" applyAlignment="1" applyProtection="1">
      <alignment horizontal="right" indent="1"/>
      <protection hidden="1"/>
    </xf>
    <xf numFmtId="164" fontId="7" fillId="0" borderId="6" xfId="0" applyNumberFormat="1" applyFont="1" applyBorder="1" applyAlignment="1" applyProtection="1">
      <alignment horizontal="right" indent="1"/>
      <protection hidden="1"/>
    </xf>
    <xf numFmtId="164" fontId="7" fillId="0" borderId="5" xfId="0" applyNumberFormat="1" applyFont="1" applyBorder="1" applyAlignment="1" applyProtection="1">
      <alignment horizontal="right" indent="1"/>
      <protection hidden="1"/>
    </xf>
    <xf numFmtId="164" fontId="7" fillId="0" borderId="10" xfId="0" applyNumberFormat="1" applyFont="1" applyBorder="1" applyAlignment="1" applyProtection="1">
      <alignment horizontal="right" indent="1"/>
      <protection hidden="1"/>
    </xf>
    <xf numFmtId="165" fontId="7" fillId="0" borderId="6" xfId="0" applyNumberFormat="1" applyFont="1" applyBorder="1" applyAlignment="1" applyProtection="1">
      <alignment horizontal="right" indent="1"/>
      <protection hidden="1"/>
    </xf>
    <xf numFmtId="165" fontId="7" fillId="0" borderId="5" xfId="0" applyNumberFormat="1" applyFont="1" applyBorder="1" applyAlignment="1" applyProtection="1">
      <alignment horizontal="right" indent="1"/>
      <protection hidden="1"/>
    </xf>
    <xf numFmtId="165" fontId="7" fillId="0" borderId="11" xfId="0" applyNumberFormat="1" applyFont="1" applyBorder="1" applyAlignment="1" applyProtection="1">
      <alignment horizontal="right" indent="1"/>
      <protection hidden="1"/>
    </xf>
    <xf numFmtId="165" fontId="7" fillId="0" borderId="10" xfId="0" applyNumberFormat="1" applyFont="1" applyBorder="1" applyAlignment="1" applyProtection="1">
      <alignment horizontal="right" indent="1"/>
      <protection hidden="1"/>
    </xf>
    <xf numFmtId="0" fontId="8" fillId="0" borderId="0" xfId="0" applyFont="1" applyAlignment="1" applyProtection="1">
      <alignment horizontal="right"/>
      <protection hidden="1"/>
    </xf>
    <xf numFmtId="2" fontId="7" fillId="0" borderId="6" xfId="0" applyNumberFormat="1" applyFont="1" applyFill="1" applyBorder="1" applyAlignment="1" applyProtection="1">
      <alignment horizontal="right" indent="1"/>
      <protection hidden="1"/>
    </xf>
    <xf numFmtId="2" fontId="7" fillId="0" borderId="5" xfId="0" applyNumberFormat="1" applyFont="1" applyFill="1" applyBorder="1" applyAlignment="1" applyProtection="1">
      <alignment horizontal="right" indent="1"/>
      <protection hidden="1"/>
    </xf>
    <xf numFmtId="2" fontId="7" fillId="0" borderId="11" xfId="0" applyNumberFormat="1" applyFont="1" applyFill="1" applyBorder="1" applyAlignment="1" applyProtection="1">
      <alignment horizontal="right" indent="1"/>
      <protection hidden="1"/>
    </xf>
    <xf numFmtId="2" fontId="7" fillId="0" borderId="10" xfId="0" applyNumberFormat="1" applyFont="1" applyFill="1" applyBorder="1" applyAlignment="1" applyProtection="1">
      <alignment horizontal="right" indent="1"/>
      <protection hidden="1"/>
    </xf>
    <xf numFmtId="0" fontId="7" fillId="0" borderId="11" xfId="0" applyFont="1" applyFill="1" applyBorder="1" applyProtection="1">
      <protection hidden="1"/>
    </xf>
    <xf numFmtId="0" fontId="8" fillId="0" borderId="6" xfId="0" applyFont="1" applyBorder="1" applyProtection="1">
      <protection hidden="1"/>
    </xf>
    <xf numFmtId="164" fontId="7" fillId="0" borderId="5" xfId="0" applyNumberFormat="1" applyFont="1" applyFill="1" applyBorder="1" applyAlignment="1" applyProtection="1">
      <alignment horizontal="right" indent="1"/>
      <protection hidden="1"/>
    </xf>
    <xf numFmtId="164" fontId="7" fillId="0" borderId="11" xfId="0" applyNumberFormat="1" applyFont="1" applyBorder="1" applyAlignment="1" applyProtection="1">
      <alignment horizontal="right" indent="1"/>
      <protection hidden="1"/>
    </xf>
    <xf numFmtId="0" fontId="8" fillId="0" borderId="0" xfId="0" quotePrefix="1" applyFont="1" applyFill="1" applyAlignment="1" applyProtection="1">
      <alignment horizontal="left" indent="1"/>
      <protection hidden="1"/>
    </xf>
    <xf numFmtId="0" fontId="12" fillId="0" borderId="21" xfId="2" applyFont="1" applyBorder="1" applyAlignment="1" applyProtection="1">
      <alignment horizontal="left" vertical="center" wrapText="1"/>
      <protection locked="0" hidden="1"/>
    </xf>
    <xf numFmtId="0" fontId="7" fillId="0" borderId="5" xfId="0" applyFont="1" applyBorder="1" applyProtection="1">
      <protection hidden="1"/>
    </xf>
    <xf numFmtId="0" fontId="7" fillId="0" borderId="6" xfId="0" applyFont="1" applyBorder="1" applyProtection="1">
      <protection hidden="1"/>
    </xf>
    <xf numFmtId="164" fontId="7" fillId="0" borderId="6" xfId="0" applyNumberFormat="1" applyFont="1" applyBorder="1" applyAlignment="1" applyProtection="1">
      <alignment horizontal="right" wrapText="1" indent="1"/>
      <protection hidden="1"/>
    </xf>
    <xf numFmtId="0" fontId="8" fillId="0" borderId="0" xfId="0" applyFont="1" applyFill="1" applyBorder="1" applyAlignment="1" applyProtection="1">
      <alignment horizontal="left" vertical="center" indent="1"/>
      <protection hidden="1"/>
    </xf>
    <xf numFmtId="0" fontId="3" fillId="3" borderId="0" xfId="0" applyFont="1" applyFill="1" applyBorder="1" applyAlignment="1" applyProtection="1">
      <alignment horizontal="center" vertical="center"/>
      <protection hidden="1"/>
    </xf>
    <xf numFmtId="0" fontId="10" fillId="3" borderId="0" xfId="0" applyFont="1" applyFill="1" applyBorder="1" applyAlignment="1" applyProtection="1">
      <alignment vertical="center"/>
      <protection hidden="1"/>
    </xf>
    <xf numFmtId="0" fontId="16" fillId="0" borderId="0" xfId="0" applyFont="1" applyBorder="1" applyAlignment="1" applyProtection="1">
      <alignment horizontal="right" vertical="center"/>
      <protection hidden="1"/>
    </xf>
    <xf numFmtId="164" fontId="8" fillId="4" borderId="21" xfId="1" applyNumberFormat="1" applyFont="1" applyFill="1" applyBorder="1" applyAlignment="1" applyProtection="1">
      <alignment horizontal="right" vertical="center" indent="1"/>
      <protection locked="0" hidden="1"/>
    </xf>
    <xf numFmtId="164" fontId="8" fillId="4" borderId="21" xfId="0" applyNumberFormat="1" applyFont="1" applyFill="1" applyBorder="1" applyAlignment="1" applyProtection="1">
      <alignment horizontal="right" vertical="center" indent="1"/>
      <protection locked="0" hidden="1"/>
    </xf>
    <xf numFmtId="166" fontId="8" fillId="4" borderId="21" xfId="0" applyNumberFormat="1" applyFont="1" applyFill="1" applyBorder="1" applyAlignment="1" applyProtection="1">
      <alignment horizontal="right" vertical="center" indent="1"/>
      <protection locked="0" hidden="1"/>
    </xf>
    <xf numFmtId="165" fontId="8" fillId="4" borderId="21" xfId="0" applyNumberFormat="1" applyFont="1" applyFill="1" applyBorder="1" applyAlignment="1" applyProtection="1">
      <alignment horizontal="right" vertical="center" indent="1"/>
      <protection locked="0" hidden="1"/>
    </xf>
    <xf numFmtId="0" fontId="6" fillId="0" borderId="21" xfId="0" applyFont="1" applyFill="1" applyBorder="1" applyAlignment="1" applyProtection="1">
      <alignment horizontal="center" vertical="center" wrapText="1"/>
      <protection hidden="1"/>
    </xf>
    <xf numFmtId="0" fontId="8" fillId="0" borderId="0" xfId="0" applyFont="1" applyAlignment="1" applyProtection="1">
      <alignment horizontal="left" wrapText="1"/>
      <protection hidden="1"/>
    </xf>
    <xf numFmtId="0" fontId="10" fillId="3" borderId="0" xfId="0" applyFont="1" applyFill="1" applyBorder="1" applyAlignment="1" applyProtection="1">
      <alignment vertical="center"/>
      <protection hidden="1"/>
    </xf>
    <xf numFmtId="0" fontId="10" fillId="3" borderId="0" xfId="0" applyFont="1" applyFill="1" applyBorder="1" applyAlignment="1" applyProtection="1">
      <alignment horizontal="left" vertical="center"/>
      <protection hidden="1"/>
    </xf>
    <xf numFmtId="0" fontId="8" fillId="4" borderId="21" xfId="0" applyNumberFormat="1" applyFont="1" applyFill="1" applyBorder="1" applyAlignment="1" applyProtection="1">
      <alignment horizontal="center" vertical="center"/>
      <protection locked="0" hidden="1"/>
    </xf>
    <xf numFmtId="0" fontId="2" fillId="0" borderId="15"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0" xfId="0" applyFont="1" applyAlignment="1" applyProtection="1">
      <alignment vertical="top"/>
      <protection hidden="1"/>
    </xf>
    <xf numFmtId="0" fontId="8" fillId="0" borderId="0" xfId="0" applyFont="1" applyAlignment="1"/>
    <xf numFmtId="0" fontId="24" fillId="0" borderId="15" xfId="0" applyFont="1" applyBorder="1" applyProtection="1">
      <protection hidden="1"/>
    </xf>
    <xf numFmtId="0" fontId="24" fillId="0" borderId="0" xfId="0" applyFont="1" applyBorder="1" applyProtection="1">
      <protection hidden="1"/>
    </xf>
    <xf numFmtId="0" fontId="24" fillId="0" borderId="16" xfId="0" applyFont="1" applyBorder="1" applyProtection="1">
      <protection hidden="1"/>
    </xf>
    <xf numFmtId="0" fontId="24" fillId="0" borderId="0" xfId="0" applyFont="1" applyProtection="1">
      <protection hidden="1"/>
    </xf>
    <xf numFmtId="0" fontId="19" fillId="0" borderId="15" xfId="0" applyFont="1" applyBorder="1"/>
    <xf numFmtId="0" fontId="19" fillId="0" borderId="0" xfId="0" applyFont="1" applyBorder="1"/>
    <xf numFmtId="0" fontId="19" fillId="0" borderId="0" xfId="0" applyFont="1" applyAlignment="1">
      <alignment horizontal="left"/>
    </xf>
    <xf numFmtId="0" fontId="19" fillId="0" borderId="16" xfId="0" applyFont="1" applyBorder="1"/>
    <xf numFmtId="0" fontId="19" fillId="0" borderId="0" xfId="0" applyFont="1"/>
    <xf numFmtId="0" fontId="25" fillId="10" borderId="0" xfId="0" applyFont="1" applyFill="1"/>
    <xf numFmtId="0" fontId="24" fillId="10" borderId="0" xfId="0" applyFont="1" applyFill="1"/>
    <xf numFmtId="0" fontId="2" fillId="0" borderId="0" xfId="0" applyFont="1" applyFill="1" applyAlignment="1">
      <alignment horizontal="left"/>
    </xf>
    <xf numFmtId="0" fontId="2" fillId="0" borderId="0" xfId="0" applyFont="1" applyFill="1"/>
    <xf numFmtId="164" fontId="2" fillId="0" borderId="21" xfId="1" applyNumberFormat="1" applyFont="1" applyFill="1" applyBorder="1"/>
    <xf numFmtId="164" fontId="26" fillId="0" borderId="21" xfId="1" applyNumberFormat="1" applyFont="1" applyFill="1" applyBorder="1"/>
    <xf numFmtId="164" fontId="27" fillId="0" borderId="21" xfId="1" applyNumberFormat="1" applyFont="1" applyFill="1" applyBorder="1"/>
    <xf numFmtId="165" fontId="2" fillId="0" borderId="21" xfId="0" applyNumberFormat="1" applyFont="1" applyFill="1" applyBorder="1"/>
    <xf numFmtId="165" fontId="26" fillId="0" borderId="21" xfId="1" applyNumberFormat="1" applyFont="1" applyFill="1" applyBorder="1" applyAlignment="1">
      <alignment horizontal="right"/>
    </xf>
    <xf numFmtId="165" fontId="27" fillId="0" borderId="21" xfId="1" applyNumberFormat="1" applyFont="1" applyFill="1" applyBorder="1" applyAlignment="1">
      <alignment horizontal="right"/>
    </xf>
    <xf numFmtId="166" fontId="2" fillId="0" borderId="21" xfId="0" applyNumberFormat="1" applyFont="1" applyFill="1" applyBorder="1"/>
    <xf numFmtId="166" fontId="27" fillId="0" borderId="21" xfId="0" applyNumberFormat="1" applyFont="1" applyFill="1" applyBorder="1"/>
    <xf numFmtId="0" fontId="2" fillId="0" borderId="21" xfId="0" applyFont="1" applyFill="1" applyBorder="1" applyAlignment="1">
      <alignment horizontal="left"/>
    </xf>
    <xf numFmtId="0" fontId="2" fillId="0" borderId="21" xfId="0" applyFont="1" applyFill="1" applyBorder="1"/>
    <xf numFmtId="0" fontId="2" fillId="0" borderId="3" xfId="0" applyFont="1" applyFill="1" applyBorder="1" applyAlignment="1">
      <alignment horizontal="left"/>
    </xf>
    <xf numFmtId="0" fontId="18" fillId="0" borderId="0" xfId="0" applyFont="1" applyFill="1"/>
    <xf numFmtId="0" fontId="4" fillId="0" borderId="0" xfId="0" applyFont="1" applyFill="1"/>
    <xf numFmtId="0" fontId="26" fillId="0" borderId="0" xfId="0" applyFont="1" applyProtection="1">
      <protection hidden="1"/>
    </xf>
    <xf numFmtId="0" fontId="26" fillId="0" borderId="15" xfId="0" applyFont="1" applyBorder="1" applyProtection="1">
      <protection hidden="1"/>
    </xf>
    <xf numFmtId="0" fontId="26" fillId="0" borderId="16" xfId="0" applyFont="1" applyBorder="1" applyProtection="1">
      <protection hidden="1"/>
    </xf>
    <xf numFmtId="0" fontId="8" fillId="0" borderId="4" xfId="0" applyFont="1" applyBorder="1" applyAlignment="1" applyProtection="1">
      <alignment horizontal="right"/>
      <protection hidden="1"/>
    </xf>
    <xf numFmtId="0" fontId="8" fillId="0" borderId="5" xfId="0" applyFont="1" applyBorder="1" applyAlignment="1" applyProtection="1">
      <alignment horizontal="right"/>
      <protection hidden="1"/>
    </xf>
    <xf numFmtId="0" fontId="8" fillId="0" borderId="11" xfId="0" applyFont="1" applyBorder="1" applyAlignment="1" applyProtection="1">
      <alignment horizontal="right"/>
      <protection hidden="1"/>
    </xf>
    <xf numFmtId="0" fontId="8" fillId="0" borderId="9" xfId="0" applyFont="1" applyBorder="1" applyAlignment="1" applyProtection="1">
      <alignment horizontal="right"/>
      <protection hidden="1"/>
    </xf>
    <xf numFmtId="0" fontId="8" fillId="0" borderId="10" xfId="0" applyFont="1" applyBorder="1" applyAlignment="1" applyProtection="1">
      <alignment horizontal="right"/>
      <protection hidden="1"/>
    </xf>
    <xf numFmtId="0" fontId="8" fillId="0" borderId="10" xfId="0" applyFont="1" applyFill="1" applyBorder="1" applyAlignment="1" applyProtection="1">
      <alignment horizontal="right"/>
      <protection hidden="1"/>
    </xf>
    <xf numFmtId="0" fontId="8" fillId="0" borderId="0" xfId="0" applyFont="1" applyFill="1" applyAlignment="1" applyProtection="1">
      <alignment horizontal="right"/>
      <protection hidden="1"/>
    </xf>
    <xf numFmtId="0" fontId="2" fillId="0" borderId="21" xfId="0" applyFont="1" applyFill="1" applyBorder="1" applyAlignment="1">
      <alignment horizontal="right"/>
    </xf>
    <xf numFmtId="0" fontId="10" fillId="3" borderId="0" xfId="0" applyFont="1" applyFill="1" applyBorder="1" applyAlignment="1" applyProtection="1">
      <alignment horizontal="left" vertical="center"/>
      <protection hidden="1"/>
    </xf>
    <xf numFmtId="0" fontId="12" fillId="0" borderId="21" xfId="2" applyFont="1" applyFill="1" applyBorder="1" applyAlignment="1" applyProtection="1">
      <alignment horizontal="center" vertical="center"/>
      <protection locked="0" hidden="1"/>
    </xf>
    <xf numFmtId="0" fontId="8" fillId="0" borderId="0" xfId="0" applyFont="1" applyBorder="1" applyProtection="1">
      <protection locked="0"/>
    </xf>
    <xf numFmtId="0" fontId="8" fillId="0" borderId="0" xfId="0" applyFont="1" applyBorder="1" applyAlignment="1" applyProtection="1">
      <alignment vertical="center"/>
      <protection locked="0"/>
    </xf>
    <xf numFmtId="0" fontId="10" fillId="3" borderId="0" xfId="0" applyFont="1" applyFill="1" applyBorder="1" applyAlignment="1" applyProtection="1">
      <alignment horizontal="left" vertical="center"/>
      <protection locked="0" hidden="1"/>
    </xf>
    <xf numFmtId="0" fontId="8" fillId="0" borderId="0" xfId="0" applyFont="1" applyBorder="1" applyProtection="1">
      <protection locked="0" hidden="1"/>
    </xf>
    <xf numFmtId="0" fontId="2" fillId="0" borderId="0" xfId="0" applyFont="1" applyProtection="1"/>
    <xf numFmtId="0" fontId="7" fillId="0" borderId="1" xfId="0" applyFont="1" applyBorder="1" applyAlignment="1" applyProtection="1">
      <alignment vertical="center"/>
    </xf>
    <xf numFmtId="0" fontId="7" fillId="0" borderId="1" xfId="0" applyFont="1" applyBorder="1" applyAlignment="1" applyProtection="1">
      <alignment vertical="center" wrapText="1"/>
    </xf>
    <xf numFmtId="0" fontId="8" fillId="0" borderId="3" xfId="0" applyFont="1" applyBorder="1" applyAlignment="1">
      <alignment horizontal="left" vertical="center" indent="1"/>
    </xf>
    <xf numFmtId="0" fontId="6" fillId="0" borderId="0" xfId="2" applyFont="1" applyBorder="1" applyAlignment="1">
      <alignment wrapText="1"/>
    </xf>
    <xf numFmtId="0" fontId="8" fillId="0" borderId="0" xfId="0" applyFont="1" applyAlignment="1" applyProtection="1">
      <alignment horizontal="left" vertical="top" wrapText="1" indent="2"/>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164" fontId="2" fillId="0" borderId="0" xfId="0" applyNumberFormat="1" applyFont="1" applyAlignment="1" applyProtection="1">
      <alignment horizontal="right" vertical="center" indent="1"/>
      <protection hidden="1"/>
    </xf>
    <xf numFmtId="164" fontId="2" fillId="0" borderId="0" xfId="0" applyNumberFormat="1" applyFont="1" applyAlignment="1" applyProtection="1">
      <alignment horizontal="right" indent="1"/>
      <protection hidden="1"/>
    </xf>
    <xf numFmtId="0" fontId="2" fillId="0" borderId="0" xfId="0" applyFont="1" applyAlignment="1" applyProtection="1">
      <alignment horizontal="center" vertical="center"/>
      <protection hidden="1"/>
    </xf>
    <xf numFmtId="0" fontId="8" fillId="0" borderId="0" xfId="0" applyFont="1" applyAlignment="1" applyProtection="1">
      <alignment wrapText="1"/>
      <protection hidden="1"/>
    </xf>
    <xf numFmtId="0" fontId="8" fillId="0" borderId="0" xfId="0" applyFont="1" applyAlignment="1" applyProtection="1">
      <alignment horizontal="center" wrapText="1"/>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right" indent="1"/>
      <protection hidden="1"/>
    </xf>
    <xf numFmtId="164" fontId="8" fillId="0" borderId="0" xfId="0" applyNumberFormat="1" applyFont="1" applyAlignment="1" applyProtection="1">
      <alignment horizontal="right" indent="1"/>
      <protection hidden="1"/>
    </xf>
    <xf numFmtId="0" fontId="9" fillId="0" borderId="0" xfId="0" applyFont="1" applyAlignment="1" applyProtection="1">
      <alignment horizontal="center"/>
      <protection hidden="1"/>
    </xf>
    <xf numFmtId="164" fontId="11" fillId="0" borderId="0" xfId="2" applyNumberFormat="1" applyAlignment="1" applyProtection="1">
      <alignment horizontal="right" indent="1"/>
      <protection hidden="1"/>
    </xf>
    <xf numFmtId="0" fontId="2" fillId="0" borderId="0" xfId="0" applyFont="1" applyAlignment="1" applyProtection="1">
      <alignment vertical="center" wrapText="1"/>
      <protection hidden="1"/>
    </xf>
    <xf numFmtId="0" fontId="2" fillId="0" borderId="0" xfId="0" applyFont="1" applyFill="1" applyBorder="1" applyAlignment="1">
      <alignment horizontal="left"/>
    </xf>
    <xf numFmtId="0" fontId="2" fillId="0" borderId="0" xfId="0" applyFont="1" applyFill="1" applyBorder="1"/>
    <xf numFmtId="0" fontId="25" fillId="0" borderId="0" xfId="0" applyFont="1" applyFill="1"/>
    <xf numFmtId="0" fontId="8" fillId="0" borderId="0" xfId="0" applyFont="1" applyAlignment="1" applyProtection="1">
      <alignment vertical="top" wrapText="1"/>
      <protection hidden="1"/>
    </xf>
    <xf numFmtId="0" fontId="7" fillId="4" borderId="21" xfId="0" applyFont="1" applyFill="1" applyBorder="1" applyAlignment="1" applyProtection="1">
      <alignment horizontal="left" vertical="center" indent="1"/>
      <protection locked="0"/>
    </xf>
    <xf numFmtId="0" fontId="8" fillId="4" borderId="21" xfId="0" applyFont="1" applyFill="1" applyBorder="1" applyAlignment="1" applyProtection="1">
      <alignment horizontal="left" vertical="center" indent="1"/>
      <protection locked="0"/>
    </xf>
    <xf numFmtId="164" fontId="8" fillId="4" borderId="21" xfId="1" applyNumberFormat="1" applyFont="1" applyFill="1" applyBorder="1" applyAlignment="1" applyProtection="1">
      <alignment horizontal="left" vertical="center" indent="1"/>
      <protection locked="0"/>
    </xf>
    <xf numFmtId="0" fontId="8" fillId="4" borderId="21" xfId="0" applyNumberFormat="1" applyFont="1" applyFill="1" applyBorder="1" applyAlignment="1" applyProtection="1">
      <alignment horizontal="center" vertical="center" wrapText="1"/>
      <protection locked="0" hidden="1"/>
    </xf>
    <xf numFmtId="0" fontId="12" fillId="0" borderId="21" xfId="2" applyFont="1" applyBorder="1" applyAlignment="1" applyProtection="1">
      <alignment horizontal="center" vertical="center"/>
      <protection locked="0" hidden="1"/>
    </xf>
    <xf numFmtId="0" fontId="8" fillId="9" borderId="7" xfId="0" applyFont="1" applyFill="1" applyBorder="1" applyAlignment="1" applyProtection="1">
      <alignment horizontal="left" vertical="center" indent="1"/>
      <protection hidden="1"/>
    </xf>
    <xf numFmtId="0" fontId="8" fillId="9" borderId="0" xfId="0" applyFont="1" applyFill="1" applyBorder="1" applyAlignment="1" applyProtection="1">
      <alignment horizontal="left" indent="1"/>
      <protection hidden="1"/>
    </xf>
    <xf numFmtId="0" fontId="8" fillId="9" borderId="8" xfId="0" applyFont="1" applyFill="1" applyBorder="1" applyAlignment="1" applyProtection="1">
      <alignment horizontal="left" indent="1"/>
      <protection hidden="1"/>
    </xf>
    <xf numFmtId="0" fontId="8" fillId="9" borderId="7" xfId="0" applyFont="1" applyFill="1" applyBorder="1" applyAlignment="1" applyProtection="1">
      <alignment vertical="center"/>
      <protection hidden="1"/>
    </xf>
    <xf numFmtId="0" fontId="8" fillId="9" borderId="0" xfId="0" applyFont="1" applyFill="1" applyBorder="1" applyProtection="1">
      <protection hidden="1"/>
    </xf>
    <xf numFmtId="0" fontId="8" fillId="9" borderId="8" xfId="0" applyFont="1" applyFill="1" applyBorder="1" applyProtection="1">
      <protection hidden="1"/>
    </xf>
    <xf numFmtId="0" fontId="26" fillId="9" borderId="7" xfId="0" applyFont="1" applyFill="1" applyBorder="1" applyProtection="1">
      <protection hidden="1"/>
    </xf>
    <xf numFmtId="0" fontId="28" fillId="9" borderId="0" xfId="0" applyFont="1" applyFill="1" applyBorder="1" applyAlignment="1">
      <alignment horizontal="left"/>
    </xf>
    <xf numFmtId="0" fontId="28" fillId="9" borderId="8" xfId="0" applyFont="1" applyFill="1" applyBorder="1" applyAlignment="1">
      <alignment horizontal="left"/>
    </xf>
    <xf numFmtId="0" fontId="2" fillId="9" borderId="9" xfId="0" applyFont="1" applyFill="1" applyBorder="1" applyAlignment="1" applyProtection="1">
      <alignment vertical="top"/>
      <protection hidden="1"/>
    </xf>
    <xf numFmtId="0" fontId="2" fillId="9" borderId="10" xfId="0" applyFont="1" applyFill="1" applyBorder="1" applyAlignment="1" applyProtection="1">
      <alignment vertical="top"/>
      <protection hidden="1"/>
    </xf>
    <xf numFmtId="0" fontId="2" fillId="9" borderId="11" xfId="0" applyFont="1" applyFill="1" applyBorder="1" applyAlignment="1" applyProtection="1">
      <alignment vertical="top"/>
      <protection hidden="1"/>
    </xf>
    <xf numFmtId="0" fontId="2" fillId="0" borderId="0" xfId="0" quotePrefix="1" applyFont="1" applyFill="1" applyAlignment="1">
      <alignment wrapText="1"/>
    </xf>
    <xf numFmtId="0" fontId="8" fillId="0" borderId="0" xfId="0" quotePrefix="1" applyFont="1" applyFill="1" applyAlignment="1" applyProtection="1">
      <alignment horizontal="left"/>
      <protection hidden="1"/>
    </xf>
    <xf numFmtId="0" fontId="7" fillId="0" borderId="1" xfId="0" applyFont="1" applyFill="1" applyBorder="1" applyAlignment="1" applyProtection="1">
      <alignment vertical="center" wrapText="1"/>
    </xf>
    <xf numFmtId="0" fontId="8" fillId="4" borderId="21" xfId="1" applyNumberFormat="1" applyFont="1" applyFill="1" applyBorder="1" applyAlignment="1" applyProtection="1">
      <alignment horizontal="left" vertical="center" indent="1"/>
      <protection locked="0"/>
    </xf>
    <xf numFmtId="168" fontId="8" fillId="4" borderId="21" xfId="0" applyNumberFormat="1" applyFont="1" applyFill="1" applyBorder="1" applyAlignment="1" applyProtection="1">
      <alignment horizontal="right" vertical="center" indent="1"/>
      <protection locked="0" hidden="1"/>
    </xf>
    <xf numFmtId="0" fontId="2" fillId="0" borderId="21" xfId="0" applyFont="1" applyBorder="1"/>
    <xf numFmtId="0" fontId="7" fillId="0" borderId="1" xfId="0" applyFont="1" applyBorder="1" applyAlignment="1" applyProtection="1">
      <alignment horizontal="left" vertical="center" indent="1"/>
      <protection hidden="1"/>
    </xf>
    <xf numFmtId="0" fontId="7" fillId="0" borderId="2" xfId="0" applyFont="1" applyBorder="1" applyAlignment="1" applyProtection="1">
      <alignment horizontal="left" vertical="center" indent="1"/>
      <protection hidden="1"/>
    </xf>
    <xf numFmtId="0" fontId="7" fillId="0" borderId="3" xfId="0" applyFont="1" applyBorder="1" applyAlignment="1" applyProtection="1">
      <alignment horizontal="left" vertical="center" indent="1"/>
      <protection hidden="1"/>
    </xf>
    <xf numFmtId="0" fontId="2" fillId="4"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0" borderId="0" xfId="0" applyFont="1" applyAlignment="1" applyProtection="1">
      <alignment vertical="center" wrapText="1"/>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pplyProtection="1">
      <alignment horizontal="left" vertical="center" indent="1"/>
      <protection hidden="1"/>
    </xf>
    <xf numFmtId="0" fontId="7" fillId="0" borderId="4" xfId="0" applyFont="1" applyBorder="1" applyProtection="1">
      <protection hidden="1"/>
    </xf>
    <xf numFmtId="0" fontId="7" fillId="0" borderId="5" xfId="0" applyFont="1" applyBorder="1" applyProtection="1">
      <protection hidden="1"/>
    </xf>
    <xf numFmtId="0" fontId="7" fillId="0" borderId="6" xfId="0" applyFont="1" applyBorder="1" applyProtection="1">
      <protection hidden="1"/>
    </xf>
    <xf numFmtId="0" fontId="3" fillId="3" borderId="0" xfId="0" applyFont="1" applyFill="1" applyAlignment="1" applyProtection="1">
      <alignment horizontal="center" vertical="center"/>
      <protection hidden="1"/>
    </xf>
    <xf numFmtId="0" fontId="8" fillId="9" borderId="4" xfId="0" applyFont="1" applyFill="1" applyBorder="1" applyAlignment="1" applyProtection="1">
      <alignment horizontal="left" vertical="center" wrapText="1" indent="1"/>
      <protection hidden="1"/>
    </xf>
    <xf numFmtId="0" fontId="8" fillId="9" borderId="5" xfId="0" applyFont="1" applyFill="1" applyBorder="1" applyAlignment="1" applyProtection="1">
      <alignment horizontal="left" vertical="center" wrapText="1" indent="1"/>
      <protection hidden="1"/>
    </xf>
    <xf numFmtId="0" fontId="8" fillId="9" borderId="6" xfId="0" applyFont="1" applyFill="1" applyBorder="1" applyAlignment="1" applyProtection="1">
      <alignment horizontal="left" vertical="center" wrapText="1" indent="1"/>
      <protection hidden="1"/>
    </xf>
    <xf numFmtId="0" fontId="8" fillId="9" borderId="7" xfId="0" applyFont="1" applyFill="1" applyBorder="1" applyAlignment="1" applyProtection="1">
      <alignment horizontal="left" vertical="center" wrapText="1" indent="3"/>
      <protection hidden="1"/>
    </xf>
    <xf numFmtId="0" fontId="8" fillId="9" borderId="0" xfId="0" applyFont="1" applyFill="1" applyAlignment="1" applyProtection="1">
      <alignment horizontal="left" vertical="center" wrapText="1" indent="3"/>
      <protection hidden="1"/>
    </xf>
    <xf numFmtId="0" fontId="8" fillId="9" borderId="8" xfId="0" applyFont="1" applyFill="1" applyBorder="1" applyAlignment="1" applyProtection="1">
      <alignment horizontal="left" vertical="center" wrapText="1" indent="3"/>
      <protection hidden="1"/>
    </xf>
    <xf numFmtId="0" fontId="8" fillId="9" borderId="9" xfId="0" applyFont="1" applyFill="1" applyBorder="1" applyAlignment="1" applyProtection="1">
      <alignment horizontal="left" vertical="center" wrapText="1" indent="3"/>
      <protection hidden="1"/>
    </xf>
    <xf numFmtId="0" fontId="8" fillId="9" borderId="10" xfId="0" applyFont="1" applyFill="1" applyBorder="1" applyAlignment="1" applyProtection="1">
      <alignment horizontal="left" vertical="center" wrapText="1" indent="3"/>
      <protection hidden="1"/>
    </xf>
    <xf numFmtId="0" fontId="8" fillId="9" borderId="11" xfId="0" applyFont="1" applyFill="1" applyBorder="1" applyAlignment="1" applyProtection="1">
      <alignment horizontal="left" vertical="center" wrapText="1" indent="3"/>
      <protection hidden="1"/>
    </xf>
    <xf numFmtId="0" fontId="5" fillId="0" borderId="4" xfId="0" applyFont="1" applyBorder="1" applyAlignment="1" applyProtection="1">
      <alignment horizontal="left" vertical="center" indent="1"/>
      <protection hidden="1"/>
    </xf>
    <xf numFmtId="0" fontId="5" fillId="0" borderId="5" xfId="0" applyFont="1" applyBorder="1" applyAlignment="1" applyProtection="1">
      <alignment horizontal="left" vertical="center" indent="1"/>
      <protection hidden="1"/>
    </xf>
    <xf numFmtId="0" fontId="5" fillId="0" borderId="6" xfId="0" applyFont="1" applyBorder="1" applyAlignment="1" applyProtection="1">
      <alignment horizontal="left" vertical="center" indent="1"/>
      <protection hidden="1"/>
    </xf>
    <xf numFmtId="0" fontId="5" fillId="0" borderId="9" xfId="0" applyFont="1" applyBorder="1" applyAlignment="1" applyProtection="1">
      <alignment horizontal="left" vertical="center" indent="1"/>
      <protection hidden="1"/>
    </xf>
    <xf numFmtId="0" fontId="5" fillId="0" borderId="10" xfId="0" applyFont="1" applyBorder="1" applyAlignment="1" applyProtection="1">
      <alignment horizontal="left" vertical="center" indent="1"/>
      <protection hidden="1"/>
    </xf>
    <xf numFmtId="0" fontId="5" fillId="0" borderId="11" xfId="0" applyFont="1" applyBorder="1" applyAlignment="1" applyProtection="1">
      <alignment horizontal="left" vertical="center" indent="1"/>
      <protection hidden="1"/>
    </xf>
    <xf numFmtId="0" fontId="5" fillId="4" borderId="4"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9"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0" borderId="21" xfId="0" applyFont="1" applyBorder="1" applyAlignment="1" applyProtection="1">
      <alignment horizontal="left" vertical="center" indent="1"/>
      <protection hidden="1"/>
    </xf>
    <xf numFmtId="0" fontId="34" fillId="4" borderId="21" xfId="0" applyFont="1" applyFill="1" applyBorder="1" applyAlignment="1" applyProtection="1">
      <alignment horizontal="left" vertical="center" indent="1"/>
      <protection locked="0"/>
    </xf>
    <xf numFmtId="0" fontId="8" fillId="0" borderId="1" xfId="0" applyFont="1" applyBorder="1" applyAlignment="1" applyProtection="1">
      <alignment horizontal="left" vertical="center" wrapText="1"/>
      <protection hidden="1"/>
    </xf>
    <xf numFmtId="0" fontId="8" fillId="0" borderId="2"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4" borderId="1"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10" fillId="3" borderId="0" xfId="0" applyFont="1" applyFill="1" applyAlignment="1" applyProtection="1">
      <alignment vertical="center"/>
      <protection hidden="1"/>
    </xf>
    <xf numFmtId="0" fontId="8" fillId="11" borderId="1" xfId="0" applyFont="1" applyFill="1" applyBorder="1" applyAlignment="1" applyProtection="1">
      <alignment horizontal="left" vertical="center" wrapText="1"/>
      <protection locked="0"/>
    </xf>
    <xf numFmtId="0" fontId="8" fillId="11" borderId="2" xfId="0" applyFont="1" applyFill="1" applyBorder="1" applyAlignment="1" applyProtection="1">
      <alignment horizontal="left" vertical="center" wrapText="1"/>
      <protection locked="0"/>
    </xf>
    <xf numFmtId="0" fontId="8" fillId="11" borderId="3" xfId="0" applyFont="1" applyFill="1" applyBorder="1" applyAlignment="1" applyProtection="1">
      <alignment horizontal="left" vertical="center" wrapText="1"/>
      <protection locked="0"/>
    </xf>
    <xf numFmtId="0" fontId="8" fillId="0" borderId="1" xfId="0" applyFont="1" applyBorder="1" applyAlignment="1" applyProtection="1">
      <alignment vertical="center" wrapText="1"/>
      <protection hidden="1"/>
    </xf>
    <xf numFmtId="0" fontId="8" fillId="0" borderId="2"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6" fillId="9" borderId="4" xfId="2" applyFont="1" applyFill="1" applyBorder="1" applyAlignment="1" applyProtection="1">
      <alignment horizontal="left" vertical="center" wrapText="1" indent="1"/>
      <protection hidden="1"/>
    </xf>
    <xf numFmtId="0" fontId="6" fillId="9" borderId="5" xfId="2" applyFont="1" applyFill="1" applyBorder="1" applyAlignment="1" applyProtection="1">
      <alignment horizontal="left" vertical="center" wrapText="1" indent="1"/>
      <protection hidden="1"/>
    </xf>
    <xf numFmtId="0" fontId="6" fillId="9" borderId="6" xfId="2" applyFont="1" applyFill="1" applyBorder="1" applyAlignment="1" applyProtection="1">
      <alignment horizontal="left" vertical="center" wrapText="1" indent="1"/>
      <protection hidden="1"/>
    </xf>
    <xf numFmtId="0" fontId="6" fillId="9" borderId="7" xfId="2" applyFont="1" applyFill="1" applyBorder="1" applyAlignment="1" applyProtection="1">
      <alignment horizontal="left" vertical="center" wrapText="1" indent="1"/>
      <protection hidden="1"/>
    </xf>
    <xf numFmtId="0" fontId="6" fillId="9" borderId="0" xfId="2" applyFont="1" applyFill="1" applyAlignment="1" applyProtection="1">
      <alignment horizontal="left" vertical="center" wrapText="1" indent="1"/>
      <protection hidden="1"/>
    </xf>
    <xf numFmtId="0" fontId="6" fillId="9" borderId="8" xfId="2" applyFont="1" applyFill="1" applyBorder="1" applyAlignment="1" applyProtection="1">
      <alignment horizontal="left" vertical="center" wrapText="1" indent="1"/>
      <protection hidden="1"/>
    </xf>
    <xf numFmtId="0" fontId="6" fillId="9" borderId="9" xfId="2" applyFont="1" applyFill="1" applyBorder="1" applyAlignment="1" applyProtection="1">
      <alignment horizontal="left" vertical="center" wrapText="1" indent="1"/>
      <protection hidden="1"/>
    </xf>
    <xf numFmtId="0" fontId="6" fillId="9" borderId="10" xfId="2" applyFont="1" applyFill="1" applyBorder="1" applyAlignment="1" applyProtection="1">
      <alignment horizontal="left" vertical="center" wrapText="1" indent="1"/>
      <protection hidden="1"/>
    </xf>
    <xf numFmtId="0" fontId="6" fillId="9" borderId="11" xfId="2" applyFont="1" applyFill="1" applyBorder="1" applyAlignment="1" applyProtection="1">
      <alignment horizontal="left" vertical="center" wrapText="1" indent="1"/>
      <protection hidden="1"/>
    </xf>
    <xf numFmtId="0" fontId="8" fillId="0" borderId="0" xfId="0" applyFont="1" applyAlignment="1" applyProtection="1">
      <alignment horizontal="center" vertical="center" wrapText="1"/>
      <protection hidden="1"/>
    </xf>
    <xf numFmtId="0" fontId="8" fillId="0" borderId="1" xfId="0" applyFont="1" applyBorder="1" applyAlignment="1" applyProtection="1">
      <alignment horizontal="left" vertical="center" indent="1"/>
    </xf>
    <xf numFmtId="0" fontId="8" fillId="0" borderId="3" xfId="0" applyFont="1" applyBorder="1" applyAlignment="1" applyProtection="1">
      <alignment horizontal="left" vertical="center" inden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6" fillId="9" borderId="4" xfId="2" applyFont="1" applyFill="1" applyBorder="1" applyAlignment="1" applyProtection="1">
      <alignment horizontal="left" vertical="center" indent="1"/>
      <protection hidden="1"/>
    </xf>
    <xf numFmtId="0" fontId="6" fillId="9" borderId="5" xfId="2" applyFont="1" applyFill="1" applyBorder="1" applyAlignment="1" applyProtection="1">
      <alignment horizontal="left" vertical="center" indent="1"/>
      <protection hidden="1"/>
    </xf>
    <xf numFmtId="0" fontId="6" fillId="9" borderId="6" xfId="2" applyFont="1" applyFill="1" applyBorder="1" applyAlignment="1" applyProtection="1">
      <alignment horizontal="left" vertical="center" indent="1"/>
      <protection hidden="1"/>
    </xf>
    <xf numFmtId="0" fontId="6" fillId="9" borderId="7" xfId="2" applyFont="1" applyFill="1" applyBorder="1" applyAlignment="1" applyProtection="1">
      <alignment horizontal="left" vertical="top" wrapText="1" indent="1"/>
    </xf>
    <xf numFmtId="0" fontId="6" fillId="9" borderId="0" xfId="2" applyFont="1" applyFill="1" applyBorder="1" applyAlignment="1" applyProtection="1">
      <alignment horizontal="left" vertical="top" wrapText="1" indent="1"/>
    </xf>
    <xf numFmtId="0" fontId="6" fillId="9" borderId="8" xfId="2" applyFont="1" applyFill="1" applyBorder="1" applyAlignment="1" applyProtection="1">
      <alignment horizontal="left" vertical="top" wrapText="1" indent="1"/>
    </xf>
    <xf numFmtId="0" fontId="8" fillId="0" borderId="0" xfId="0" applyFont="1" applyAlignment="1" applyProtection="1">
      <alignment horizontal="left" vertical="top" wrapText="1" indent="1"/>
      <protection hidden="1"/>
    </xf>
    <xf numFmtId="0" fontId="10"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wrapText="1"/>
    </xf>
    <xf numFmtId="0" fontId="8" fillId="9" borderId="1" xfId="0" applyFont="1" applyFill="1" applyBorder="1" applyAlignment="1" applyProtection="1">
      <alignment horizontal="left" vertical="center" wrapText="1" indent="1"/>
    </xf>
    <xf numFmtId="0" fontId="8" fillId="9" borderId="2" xfId="0" applyFont="1" applyFill="1" applyBorder="1" applyAlignment="1" applyProtection="1">
      <alignment horizontal="left" vertical="center" wrapText="1" indent="1"/>
    </xf>
    <xf numFmtId="0" fontId="8" fillId="9" borderId="3" xfId="0" applyFont="1" applyFill="1" applyBorder="1" applyAlignment="1" applyProtection="1">
      <alignment horizontal="left" vertical="center" wrapText="1" indent="1"/>
    </xf>
    <xf numFmtId="0" fontId="10" fillId="3" borderId="0" xfId="0" applyFont="1" applyFill="1" applyBorder="1" applyAlignment="1" applyProtection="1">
      <alignment vertical="center"/>
      <protection hidden="1"/>
    </xf>
    <xf numFmtId="0" fontId="17" fillId="0" borderId="0" xfId="0" applyFont="1" applyBorder="1" applyAlignment="1" applyProtection="1">
      <alignment vertical="top"/>
    </xf>
    <xf numFmtId="0" fontId="10" fillId="3" borderId="0" xfId="0" applyFont="1" applyFill="1" applyBorder="1" applyAlignment="1" applyProtection="1">
      <alignment vertical="center"/>
    </xf>
    <xf numFmtId="0" fontId="3" fillId="3" borderId="0" xfId="0" applyFont="1" applyFill="1" applyBorder="1" applyAlignment="1" applyProtection="1">
      <alignment horizontal="center" vertical="center"/>
      <protection hidden="1"/>
    </xf>
    <xf numFmtId="0" fontId="7" fillId="9" borderId="4" xfId="0" applyFont="1" applyFill="1" applyBorder="1" applyAlignment="1" applyProtection="1">
      <alignment horizontal="left" vertical="top" wrapText="1" indent="1"/>
    </xf>
    <xf numFmtId="0" fontId="7" fillId="9" borderId="5" xfId="0" applyFont="1" applyFill="1" applyBorder="1" applyAlignment="1" applyProtection="1">
      <alignment horizontal="left" vertical="top" wrapText="1" indent="1"/>
    </xf>
    <xf numFmtId="0" fontId="7" fillId="9" borderId="6" xfId="0" applyFont="1" applyFill="1" applyBorder="1" applyAlignment="1" applyProtection="1">
      <alignment horizontal="left" vertical="top" wrapText="1" indent="1"/>
    </xf>
    <xf numFmtId="0" fontId="6" fillId="9" borderId="9" xfId="2" applyFont="1" applyFill="1" applyBorder="1" applyAlignment="1" applyProtection="1">
      <alignment horizontal="left" vertical="top" wrapText="1" indent="1"/>
    </xf>
    <xf numFmtId="0" fontId="6" fillId="9" borderId="10" xfId="2" applyFont="1" applyFill="1" applyBorder="1" applyAlignment="1" applyProtection="1">
      <alignment horizontal="left" vertical="top" wrapText="1" indent="1"/>
    </xf>
    <xf numFmtId="0" fontId="6" fillId="9" borderId="11" xfId="2" applyFont="1" applyFill="1" applyBorder="1" applyAlignment="1" applyProtection="1">
      <alignment horizontal="left" vertical="top" wrapText="1" indent="1"/>
    </xf>
    <xf numFmtId="0" fontId="6" fillId="9" borderId="1" xfId="2" applyFont="1" applyFill="1" applyBorder="1" applyAlignment="1" applyProtection="1">
      <alignment horizontal="left" vertical="center" wrapText="1" indent="1"/>
    </xf>
    <xf numFmtId="0" fontId="6" fillId="9" borderId="2" xfId="2" applyFont="1" applyFill="1" applyBorder="1" applyAlignment="1" applyProtection="1">
      <alignment horizontal="left" vertical="center" wrapText="1" indent="1"/>
    </xf>
    <xf numFmtId="0" fontId="6" fillId="9" borderId="3" xfId="2" applyFont="1" applyFill="1" applyBorder="1" applyAlignment="1" applyProtection="1">
      <alignment horizontal="left" vertical="center" wrapText="1" indent="1"/>
    </xf>
    <xf numFmtId="0" fontId="3" fillId="3" borderId="0" xfId="0" applyFont="1" applyFill="1" applyBorder="1" applyAlignment="1" applyProtection="1">
      <alignment horizontal="left" vertical="center" indent="2"/>
      <protection hidden="1"/>
    </xf>
    <xf numFmtId="0" fontId="6" fillId="9" borderId="22" xfId="2" applyFont="1" applyFill="1" applyBorder="1" applyAlignment="1">
      <alignment horizontal="left" vertical="center" wrapText="1" indent="1"/>
    </xf>
    <xf numFmtId="0" fontId="8" fillId="9" borderId="23" xfId="0" applyFont="1" applyFill="1" applyBorder="1" applyAlignment="1">
      <alignment horizontal="left" vertical="center" wrapText="1" indent="1"/>
    </xf>
    <xf numFmtId="0" fontId="8" fillId="0" borderId="1" xfId="0" applyFont="1" applyBorder="1" applyAlignment="1">
      <alignment horizontal="left" vertical="center" indent="1"/>
    </xf>
    <xf numFmtId="0" fontId="8" fillId="0" borderId="3" xfId="0" applyFont="1" applyBorder="1" applyAlignment="1">
      <alignment horizontal="left" vertical="center" indent="1"/>
    </xf>
    <xf numFmtId="0" fontId="14" fillId="0" borderId="10" xfId="0" applyFont="1" applyBorder="1" applyAlignment="1">
      <alignment vertical="center"/>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8" fillId="9" borderId="4"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0" xfId="0" applyFont="1" applyFill="1" applyBorder="1" applyAlignment="1">
      <alignment horizontal="left" vertical="center" wrapText="1" indent="1"/>
    </xf>
    <xf numFmtId="0" fontId="8" fillId="9" borderId="8" xfId="0" applyFont="1" applyFill="1" applyBorder="1" applyAlignment="1">
      <alignment horizontal="left" vertical="center" wrapText="1" indent="1"/>
    </xf>
    <xf numFmtId="0" fontId="8" fillId="9" borderId="9" xfId="0" applyFont="1" applyFill="1" applyBorder="1" applyAlignment="1">
      <alignment horizontal="left" vertical="center" wrapText="1" indent="1"/>
    </xf>
    <xf numFmtId="0" fontId="8" fillId="9" borderId="10" xfId="0" applyFont="1" applyFill="1" applyBorder="1" applyAlignment="1">
      <alignment horizontal="left" vertical="center" wrapText="1" indent="1"/>
    </xf>
    <xf numFmtId="0" fontId="8" fillId="9" borderId="11" xfId="0" applyFont="1" applyFill="1" applyBorder="1" applyAlignment="1">
      <alignment horizontal="left" vertical="center" wrapText="1" indent="1"/>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8" fillId="5" borderId="1" xfId="0" applyFont="1" applyFill="1" applyBorder="1" applyAlignment="1">
      <alignment horizontal="center"/>
    </xf>
    <xf numFmtId="0" fontId="8" fillId="5" borderId="3" xfId="0" applyFont="1" applyFill="1" applyBorder="1" applyAlignment="1">
      <alignment horizontal="center"/>
    </xf>
    <xf numFmtId="0" fontId="8" fillId="7" borderId="1" xfId="0" applyFont="1" applyFill="1" applyBorder="1" applyAlignment="1">
      <alignment horizontal="center"/>
    </xf>
    <xf numFmtId="0" fontId="8" fillId="7" borderId="2" xfId="0" applyFont="1" applyFill="1" applyBorder="1" applyAlignment="1">
      <alignment horizontal="center"/>
    </xf>
    <xf numFmtId="0" fontId="8" fillId="7" borderId="3" xfId="0" applyFont="1" applyFill="1" applyBorder="1" applyAlignment="1">
      <alignment horizontal="center"/>
    </xf>
    <xf numFmtId="0" fontId="8" fillId="6" borderId="1" xfId="0" applyFont="1" applyFill="1" applyBorder="1" applyAlignment="1">
      <alignment horizontal="center"/>
    </xf>
    <xf numFmtId="0" fontId="8" fillId="6" borderId="2" xfId="0" applyFont="1" applyFill="1" applyBorder="1" applyAlignment="1">
      <alignment horizontal="center"/>
    </xf>
    <xf numFmtId="0" fontId="8" fillId="6" borderId="3" xfId="0" applyFont="1" applyFill="1" applyBorder="1" applyAlignment="1">
      <alignment horizontal="center"/>
    </xf>
    <xf numFmtId="0" fontId="8" fillId="8" borderId="1" xfId="0" applyFont="1" applyFill="1" applyBorder="1" applyAlignment="1">
      <alignment horizontal="center"/>
    </xf>
    <xf numFmtId="0" fontId="8" fillId="8" borderId="2" xfId="0" applyFont="1" applyFill="1" applyBorder="1" applyAlignment="1">
      <alignment horizontal="center"/>
    </xf>
    <xf numFmtId="0" fontId="8" fillId="8" borderId="3" xfId="0" applyFont="1" applyFill="1" applyBorder="1" applyAlignment="1">
      <alignment horizontal="center"/>
    </xf>
    <xf numFmtId="0" fontId="8" fillId="2" borderId="0" xfId="0" applyFont="1" applyFill="1" applyAlignment="1">
      <alignment vertical="center" wrapText="1"/>
    </xf>
  </cellXfs>
  <cellStyles count="3">
    <cellStyle name="Hyperlink" xfId="2" builtinId="8"/>
    <cellStyle name="Normal" xfId="0" builtinId="0"/>
    <cellStyle name="Percent" xfId="1" builtinId="5"/>
  </cellStyles>
  <dxfs count="61">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border>
        <left/>
        <right/>
        <top/>
        <bottom/>
        <vertical/>
        <horizontal/>
      </border>
    </dxf>
    <dxf>
      <font>
        <color theme="0"/>
      </font>
      <border>
        <left/>
        <right/>
        <bottom/>
        <vertical/>
        <horizontal/>
      </border>
    </dxf>
    <dxf>
      <font>
        <color theme="0"/>
      </font>
      <border>
        <left/>
        <right/>
        <top/>
        <bottom/>
        <vertical/>
        <horizontal/>
      </border>
    </dxf>
    <dxf>
      <font>
        <color theme="0"/>
      </font>
      <border>
        <left/>
        <right/>
        <vertical/>
        <horizontal/>
      </border>
    </dxf>
    <dxf>
      <font>
        <color theme="0"/>
      </font>
      <border>
        <left/>
        <right/>
        <vertical/>
        <horizontal/>
      </border>
    </dxf>
    <dxf>
      <font>
        <color theme="0"/>
      </font>
      <border>
        <left/>
        <right/>
        <vertical/>
        <horizontal/>
      </border>
    </dxf>
    <dxf>
      <font>
        <color theme="0"/>
      </font>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bottom/>
        <vertical/>
        <horizontal/>
      </border>
    </dxf>
    <dxf>
      <fill>
        <patternFill patternType="none">
          <bgColor auto="1"/>
        </patternFill>
      </fill>
      <border>
        <left/>
        <right/>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top/>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bottom/>
        <vertical/>
        <horizontal/>
      </border>
    </dxf>
    <dxf>
      <fill>
        <patternFill patternType="none">
          <bgColor auto="1"/>
        </patternFill>
      </fill>
      <border>
        <left/>
        <right/>
        <top/>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vertical/>
        <horizontal/>
      </border>
    </dxf>
    <dxf>
      <border>
        <left/>
        <right/>
        <bottom/>
        <vertical/>
        <horizontal/>
      </border>
    </dxf>
    <dxf>
      <fill>
        <patternFill>
          <bgColor rgb="FFFFD961"/>
        </patternFill>
      </fill>
    </dxf>
    <dxf>
      <fill>
        <patternFill>
          <bgColor rgb="FFED878E"/>
        </patternFill>
      </fill>
    </dxf>
    <dxf>
      <fill>
        <patternFill>
          <bgColor rgb="FFC0DDAD"/>
        </patternFill>
      </fill>
    </dxf>
    <dxf>
      <fill>
        <patternFill patternType="none">
          <bgColor auto="1"/>
        </patternFill>
      </fill>
      <border>
        <left/>
        <right/>
        <vertical/>
        <horizontal/>
      </border>
    </dxf>
    <dxf>
      <fill>
        <patternFill>
          <bgColor rgb="FFED878E"/>
        </patternFill>
      </fill>
    </dxf>
    <dxf>
      <fill>
        <patternFill>
          <bgColor rgb="FFFFD961"/>
        </patternFill>
      </fill>
    </dxf>
    <dxf>
      <fill>
        <patternFill>
          <bgColor rgb="FFC0DDAD"/>
        </patternFill>
      </fill>
    </dxf>
    <dxf>
      <fill>
        <patternFill>
          <bgColor rgb="FFED878E"/>
        </patternFill>
      </fill>
    </dxf>
    <dxf>
      <fill>
        <patternFill>
          <bgColor rgb="FFFFD961"/>
        </patternFill>
      </fill>
    </dxf>
    <dxf>
      <fill>
        <patternFill>
          <bgColor rgb="FFC0DDAD"/>
        </patternFill>
      </fill>
    </dxf>
    <dxf>
      <fill>
        <patternFill>
          <bgColor rgb="FF73B04A"/>
        </patternFill>
      </fill>
    </dxf>
    <dxf>
      <fill>
        <patternFill>
          <bgColor rgb="FFED878E"/>
        </patternFill>
      </fill>
    </dxf>
    <dxf>
      <fill>
        <patternFill>
          <bgColor rgb="FFFFD961"/>
        </patternFill>
      </fill>
    </dxf>
    <dxf>
      <fill>
        <patternFill>
          <bgColor rgb="FFC0DDAD"/>
        </patternFill>
      </fill>
    </dxf>
    <dxf>
      <border>
        <bottom/>
        <vertical/>
        <horizontal/>
      </border>
    </dxf>
    <dxf>
      <font>
        <color theme="0"/>
      </font>
      <fill>
        <patternFill patternType="none">
          <bgColor auto="1"/>
        </patternFill>
      </fill>
      <border>
        <left/>
        <right/>
        <top style="thin">
          <color auto="1"/>
        </top>
        <bottom style="thin">
          <color auto="1"/>
        </bottom>
        <vertical/>
        <horizontal/>
      </border>
    </dxf>
    <dxf>
      <fill>
        <patternFill>
          <bgColor rgb="FFED878E"/>
        </patternFill>
      </fill>
    </dxf>
    <dxf>
      <fill>
        <patternFill>
          <bgColor rgb="FFFFD961"/>
        </patternFill>
      </fill>
    </dxf>
    <dxf>
      <fill>
        <patternFill>
          <bgColor rgb="FFC0DDAD"/>
        </patternFill>
      </fill>
    </dxf>
    <dxf>
      <fill>
        <patternFill>
          <bgColor rgb="FF73B04A"/>
        </patternFill>
      </fill>
    </dxf>
  </dxfs>
  <tableStyles count="0" defaultTableStyle="TableStyleMedium2" defaultPivotStyle="PivotStyleLight16"/>
  <colors>
    <mruColors>
      <color rgb="FFE8D3D4"/>
      <color rgb="FF104F75"/>
      <color rgb="FFE6B8B7"/>
      <color rgb="FFC0DDAD"/>
      <color rgb="FFFFD961"/>
      <color rgb="FFED878E"/>
      <color rgb="FF73B04A"/>
      <color rgb="FFC7A1E3"/>
      <color rgb="FFBA8BDD"/>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187949</xdr:rowOff>
    </xdr:from>
    <xdr:to>
      <xdr:col>8</xdr:col>
      <xdr:colOff>2601514</xdr:colOff>
      <xdr:row>22</xdr:row>
      <xdr:rowOff>0</xdr:rowOff>
    </xdr:to>
    <xdr:sp macro="[0]!Reset_school_1" textlink="">
      <xdr:nvSpPr>
        <xdr:cNvPr id="21" name="Rectangle 20">
          <a:extLst>
            <a:ext uri="{FF2B5EF4-FFF2-40B4-BE49-F238E27FC236}">
              <a16:creationId xmlns:a16="http://schemas.microsoft.com/office/drawing/2014/main" id="{ADB84697-CFD9-46D6-A530-F223904374A9}"/>
            </a:ext>
          </a:extLst>
        </xdr:cNvPr>
        <xdr:cNvSpPr/>
      </xdr:nvSpPr>
      <xdr:spPr>
        <a:xfrm>
          <a:off x="7685485" y="6968559"/>
          <a:ext cx="4577952" cy="4371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0" rIns="36000" bIns="0" rtlCol="0" anchor="t"/>
        <a:lstStyle/>
        <a:p>
          <a:pPr lvl="0" algn="l"/>
          <a:r>
            <a:rPr lang="en-GB" sz="1200">
              <a:solidFill>
                <a:sysClr val="windowText" lastClr="000000"/>
              </a:solidFill>
              <a:latin typeface="Arial" panose="020B0604020202020204" pitchFamily="34" charset="0"/>
              <a:cs typeface="Arial" panose="020B0604020202020204" pitchFamily="34" charset="0"/>
            </a:rPr>
            <a:t>To reset the form to draw</a:t>
          </a:r>
          <a:r>
            <a:rPr lang="en-GB" sz="1200" baseline="0">
              <a:solidFill>
                <a:sysClr val="windowText" lastClr="000000"/>
              </a:solidFill>
              <a:latin typeface="Arial" panose="020B0604020202020204" pitchFamily="34" charset="0"/>
              <a:cs typeface="Arial" panose="020B0604020202020204" pitchFamily="34" charset="0"/>
            </a:rPr>
            <a:t> from the raw spending and characteristics data, </a:t>
          </a:r>
          <a:r>
            <a:rPr lang="en-GB" sz="1200" u="sng" baseline="0">
              <a:solidFill>
                <a:schemeClr val="accent1">
                  <a:lumMod val="75000"/>
                </a:schemeClr>
              </a:solidFill>
              <a:latin typeface="Arial" panose="020B0604020202020204" pitchFamily="34" charset="0"/>
              <a:cs typeface="Arial" panose="020B0604020202020204" pitchFamily="34" charset="0"/>
            </a:rPr>
            <a:t>click here</a:t>
          </a:r>
          <a:r>
            <a:rPr lang="en-GB" sz="1200" u="none" baseline="0">
              <a:solidFill>
                <a:sysClr val="windowText" lastClr="000000"/>
              </a:solidFill>
              <a:latin typeface="Arial" panose="020B0604020202020204" pitchFamily="34" charset="0"/>
              <a:cs typeface="Arial" panose="020B0604020202020204" pitchFamily="34" charset="0"/>
            </a:rPr>
            <a:t>. Macros must be enabled</a:t>
          </a:r>
          <a:r>
            <a:rPr lang="en-GB" sz="1200" u="none">
              <a:solidFill>
                <a:sysClr val="windowText" lastClr="000000"/>
              </a:solidFill>
              <a:latin typeface="Arial" panose="020B0604020202020204" pitchFamily="34" charset="0"/>
              <a:cs typeface="Arial" panose="020B0604020202020204" pitchFamily="34"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kozerski/AppData/Local/Microsoft/Windows/Temporary%20Internet%20Files/Content.Outlook/D5IECWWU/Copy%20of%20AT%20population%20-%20April%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nnetapp01\Converter%20and%20Fast%20Track%20Sponsored\Converters%20Tracker%20Lates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VH/Finance/WGA%202011-12%20and%20consolidation/Copy%20of%20Master%20BDO_List%20of%20Academies%20for%20WGA_budget%20forecast%20opened%20as%20at%2031%20May%202012%20UPDATED%2002-10-2012%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wailes/AppData/Local/Microsoft/Windows/Temporary%20Internet%20Files/Content.Outlook/ZEXLVGAF/AT%20population%20-%20September%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Change log"/>
      <sheetName val="Alphabetical"/>
      <sheetName val="Populations"/>
      <sheetName val="Companies"/>
      <sheetName val="MATs"/>
      <sheetName val="CRM Extract"/>
      <sheetName val="Chart1"/>
      <sheetName val="Chart2"/>
      <sheetName val="Reference"/>
      <sheetName val="Lookup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9">
          <cell r="A9" t="str">
            <v>Barking and Dagenham London Borough Council</v>
          </cell>
        </row>
      </sheetData>
      <sheetData sheetId="10">
        <row r="4">
          <cell r="A4" t="str">
            <v>Corporate action</v>
          </cell>
        </row>
        <row r="5">
          <cell r="A5" t="str">
            <v>School name change</v>
          </cell>
        </row>
        <row r="6">
          <cell r="A6" t="str">
            <v>Change in LEA ref</v>
          </cell>
        </row>
        <row r="7">
          <cell r="A7" t="str">
            <v>Reorg. of MAT's structure</v>
          </cell>
        </row>
        <row r="8">
          <cell r="A8" t="str">
            <v>Transfer of school between ATs</v>
          </cell>
        </row>
        <row r="9">
          <cell r="A9" t="str">
            <v>Conversion of SAT into a MAT</v>
          </cell>
        </row>
        <row r="10">
          <cell r="A10" t="str">
            <v>Incorrect identification of MAT</v>
          </cell>
        </row>
        <row r="11">
          <cell r="A11" t="str">
            <v>Closure/merger of school</v>
          </cell>
        </row>
        <row r="12">
          <cell r="A12"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onverter Applications"/>
      <sheetName val="Lists"/>
      <sheetName val="Sheet1"/>
      <sheetName val="Sheet2"/>
      <sheetName val="Sheet3"/>
      <sheetName val="Sheet4"/>
      <sheetName val="Sheet5"/>
      <sheetName val="Sheet6"/>
      <sheetName val="Sheet7"/>
      <sheetName val="Full Sponsored Tracker"/>
      <sheetName val="All_Converter_Applications"/>
      <sheetName val="Full_Sponsored_Tracker"/>
    </sheetNames>
    <sheetDataSet>
      <sheetData sheetId="0">
        <row r="1">
          <cell r="A1" t="str">
            <v>URN</v>
          </cell>
        </row>
      </sheetData>
      <sheetData sheetId="1">
        <row r="1">
          <cell r="A1" t="str">
            <v>ACD</v>
          </cell>
          <cell r="F1">
            <v>41883</v>
          </cell>
        </row>
        <row r="2">
          <cell r="F2">
            <v>41852</v>
          </cell>
        </row>
        <row r="3">
          <cell r="F3">
            <v>41821</v>
          </cell>
        </row>
        <row r="4">
          <cell r="F4">
            <v>41791</v>
          </cell>
        </row>
        <row r="5">
          <cell r="F5">
            <v>41760</v>
          </cell>
        </row>
        <row r="6">
          <cell r="F6">
            <v>41730</v>
          </cell>
        </row>
        <row r="7">
          <cell r="F7">
            <v>41699</v>
          </cell>
        </row>
        <row r="8">
          <cell r="F8">
            <v>41671</v>
          </cell>
        </row>
        <row r="9">
          <cell r="F9">
            <v>41640</v>
          </cell>
        </row>
        <row r="10">
          <cell r="F10">
            <v>41609</v>
          </cell>
        </row>
        <row r="11">
          <cell r="F11">
            <v>41579</v>
          </cell>
        </row>
        <row r="12">
          <cell r="F12">
            <v>41548</v>
          </cell>
        </row>
        <row r="13">
          <cell r="F13">
            <v>41518</v>
          </cell>
        </row>
        <row r="14">
          <cell r="F14">
            <v>41487</v>
          </cell>
        </row>
        <row r="15">
          <cell r="F15">
            <v>41456</v>
          </cell>
        </row>
        <row r="16">
          <cell r="F16">
            <v>41426</v>
          </cell>
        </row>
        <row r="17">
          <cell r="F17">
            <v>41395</v>
          </cell>
        </row>
        <row r="18">
          <cell r="F18">
            <v>41365</v>
          </cell>
        </row>
        <row r="19">
          <cell r="F19">
            <v>41334</v>
          </cell>
        </row>
        <row r="20">
          <cell r="F20">
            <v>41306</v>
          </cell>
        </row>
        <row r="21">
          <cell r="F21">
            <v>41275</v>
          </cell>
        </row>
        <row r="22">
          <cell r="F22">
            <v>41244</v>
          </cell>
        </row>
        <row r="23">
          <cell r="F23">
            <v>41214</v>
          </cell>
        </row>
        <row r="24">
          <cell r="F24">
            <v>41183</v>
          </cell>
        </row>
        <row r="25">
          <cell r="F25">
            <v>41153</v>
          </cell>
        </row>
        <row r="26">
          <cell r="F26">
            <v>41122</v>
          </cell>
        </row>
        <row r="27">
          <cell r="F27">
            <v>41091</v>
          </cell>
        </row>
        <row r="28">
          <cell r="F28">
            <v>41061</v>
          </cell>
        </row>
        <row r="29">
          <cell r="F29">
            <v>41030</v>
          </cell>
        </row>
        <row r="30">
          <cell r="F30">
            <v>41000</v>
          </cell>
        </row>
        <row r="31">
          <cell r="F31">
            <v>40969</v>
          </cell>
        </row>
        <row r="32">
          <cell r="F32">
            <v>40940</v>
          </cell>
        </row>
        <row r="33">
          <cell r="F33">
            <v>40909</v>
          </cell>
        </row>
        <row r="34">
          <cell r="F34">
            <v>40878</v>
          </cell>
        </row>
        <row r="35">
          <cell r="F35">
            <v>40848</v>
          </cell>
        </row>
        <row r="36">
          <cell r="F36">
            <v>40817</v>
          </cell>
        </row>
        <row r="37">
          <cell r="F37">
            <v>40787</v>
          </cell>
        </row>
        <row r="38">
          <cell r="F38">
            <v>40756</v>
          </cell>
        </row>
        <row r="39">
          <cell r="F39">
            <v>40725</v>
          </cell>
        </row>
        <row r="40">
          <cell r="F40">
            <v>40695</v>
          </cell>
        </row>
        <row r="41">
          <cell r="F41">
            <v>40664</v>
          </cell>
        </row>
        <row r="42">
          <cell r="F42">
            <v>40634</v>
          </cell>
        </row>
        <row r="43">
          <cell r="F43">
            <v>40603</v>
          </cell>
        </row>
        <row r="44">
          <cell r="F44">
            <v>40575</v>
          </cell>
        </row>
        <row r="45">
          <cell r="F45">
            <v>40544</v>
          </cell>
        </row>
        <row r="46">
          <cell r="F46">
            <v>40513</v>
          </cell>
        </row>
        <row r="47">
          <cell r="F47">
            <v>40483</v>
          </cell>
        </row>
        <row r="48">
          <cell r="F48">
            <v>40452</v>
          </cell>
        </row>
        <row r="49">
          <cell r="F49">
            <v>40422</v>
          </cell>
        </row>
        <row r="50">
          <cell r="F50" t="str">
            <v>Undecided</v>
          </cell>
        </row>
      </sheetData>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Data"/>
      <sheetName val="Psuedo_WGAlist"/>
      <sheetName val="Sheet3"/>
      <sheetName val="Additional Psudo"/>
      <sheetName val="Sheet1"/>
    </sheetNames>
    <sheetDataSet>
      <sheetData sheetId="0" refreshError="1"/>
      <sheetData sheetId="1" refreshError="1"/>
      <sheetData sheetId="2" refreshError="1">
        <row r="1">
          <cell r="F1" t="str">
            <v>LEA Establishment No</v>
          </cell>
          <cell r="G1" t="str">
            <v>Federation or Individual for Accounts</v>
          </cell>
          <cell r="H1" t="str">
            <v>Federation</v>
          </cell>
          <cell r="I1" t="str">
            <v>Academy Name</v>
          </cell>
          <cell r="J1" t="str">
            <v>Territory</v>
          </cell>
          <cell r="K1" t="str">
            <v>Large/ Small WGA</v>
          </cell>
          <cell r="L1" t="str">
            <v>Pseudo WGA Due for 10-11 EFA/BDO</v>
          </cell>
        </row>
        <row r="2">
          <cell r="F2">
            <v>3946905</v>
          </cell>
          <cell r="G2" t="str">
            <v xml:space="preserve">Individual </v>
          </cell>
          <cell r="H2" t="str">
            <v>-</v>
          </cell>
          <cell r="I2" t="str">
            <v>Academy 360</v>
          </cell>
          <cell r="J2" t="str">
            <v>Northern</v>
          </cell>
          <cell r="K2" t="str">
            <v>Large</v>
          </cell>
          <cell r="L2" t="str">
            <v>EFA</v>
          </cell>
        </row>
        <row r="3">
          <cell r="F3">
            <v>9375407</v>
          </cell>
          <cell r="G3" t="str">
            <v>Individual</v>
          </cell>
          <cell r="H3" t="str">
            <v>-</v>
          </cell>
          <cell r="I3" t="str">
            <v>Alcester Grammar School</v>
          </cell>
          <cell r="J3" t="str">
            <v>Western</v>
          </cell>
          <cell r="K3" t="str">
            <v>Large</v>
          </cell>
          <cell r="L3" t="str">
            <v>EFA</v>
          </cell>
        </row>
        <row r="4">
          <cell r="F4">
            <v>8732087</v>
          </cell>
          <cell r="G4">
            <v>0</v>
          </cell>
          <cell r="H4" t="str">
            <v>-</v>
          </cell>
          <cell r="I4" t="str">
            <v>Alderman Jacobs Primary School</v>
          </cell>
          <cell r="J4" t="str">
            <v>Eastern</v>
          </cell>
          <cell r="K4" t="str">
            <v>Small</v>
          </cell>
          <cell r="L4" t="str">
            <v>EFA</v>
          </cell>
        </row>
        <row r="5">
          <cell r="F5">
            <v>8236905</v>
          </cell>
          <cell r="G5">
            <v>0</v>
          </cell>
          <cell r="H5" t="str">
            <v>-</v>
          </cell>
          <cell r="I5" t="str">
            <v>All Saints Academy</v>
          </cell>
          <cell r="J5" t="str">
            <v>Eastern</v>
          </cell>
          <cell r="K5" t="str">
            <v>Large</v>
          </cell>
          <cell r="L5" t="str">
            <v>EFA</v>
          </cell>
        </row>
        <row r="6">
          <cell r="F6">
            <v>8796905</v>
          </cell>
          <cell r="G6" t="str">
            <v>Individual</v>
          </cell>
          <cell r="H6" t="str">
            <v>-</v>
          </cell>
          <cell r="I6" t="str">
            <v>All Saints Church of England Academy, Plymouth</v>
          </cell>
          <cell r="J6" t="str">
            <v>Western</v>
          </cell>
          <cell r="K6" t="str">
            <v>Large</v>
          </cell>
          <cell r="L6" t="str">
            <v>EFA</v>
          </cell>
        </row>
        <row r="7">
          <cell r="F7">
            <v>3585404</v>
          </cell>
          <cell r="G7" t="str">
            <v xml:space="preserve">Individual </v>
          </cell>
          <cell r="H7" t="str">
            <v>-</v>
          </cell>
          <cell r="I7" t="str">
            <v>Altrincham Grammar School for Boys</v>
          </cell>
          <cell r="J7" t="str">
            <v>Northern</v>
          </cell>
          <cell r="K7" t="str">
            <v>Large</v>
          </cell>
          <cell r="L7" t="str">
            <v>EFA</v>
          </cell>
        </row>
        <row r="8">
          <cell r="F8">
            <v>8862141</v>
          </cell>
          <cell r="G8" t="str">
            <v>Individual</v>
          </cell>
          <cell r="H8" t="str">
            <v>-</v>
          </cell>
          <cell r="I8" t="str">
            <v>Amherst School</v>
          </cell>
          <cell r="J8" t="str">
            <v>Southern</v>
          </cell>
          <cell r="K8" t="str">
            <v>Small</v>
          </cell>
          <cell r="L8" t="str">
            <v>EFA</v>
          </cell>
        </row>
        <row r="9">
          <cell r="F9">
            <v>3806907</v>
          </cell>
          <cell r="G9" t="str">
            <v xml:space="preserve">Individual </v>
          </cell>
          <cell r="H9" t="str">
            <v>-</v>
          </cell>
          <cell r="I9" t="str">
            <v>Appleton Academy</v>
          </cell>
          <cell r="J9" t="str">
            <v>Northern</v>
          </cell>
          <cell r="K9" t="str">
            <v>Large</v>
          </cell>
          <cell r="L9" t="str">
            <v>EFA</v>
          </cell>
        </row>
        <row r="10">
          <cell r="F10">
            <v>8106905</v>
          </cell>
          <cell r="G10" t="str">
            <v xml:space="preserve">Individual </v>
          </cell>
          <cell r="H10" t="str">
            <v>-</v>
          </cell>
          <cell r="I10" t="str">
            <v>Archbishop Sentamu Academy</v>
          </cell>
          <cell r="J10" t="str">
            <v>Northern</v>
          </cell>
          <cell r="K10" t="str">
            <v>Large</v>
          </cell>
          <cell r="L10" t="str">
            <v>EFA</v>
          </cell>
        </row>
        <row r="11">
          <cell r="F11">
            <v>3344017</v>
          </cell>
          <cell r="G11" t="str">
            <v>Individual</v>
          </cell>
          <cell r="H11" t="str">
            <v>-</v>
          </cell>
          <cell r="I11" t="str">
            <v>Arden Academy</v>
          </cell>
          <cell r="J11" t="str">
            <v>Western</v>
          </cell>
          <cell r="K11" t="str">
            <v>Large</v>
          </cell>
          <cell r="L11" t="str">
            <v>EFA</v>
          </cell>
        </row>
        <row r="12">
          <cell r="F12">
            <v>8745417</v>
          </cell>
          <cell r="G12">
            <v>0</v>
          </cell>
          <cell r="H12" t="str">
            <v>-</v>
          </cell>
          <cell r="I12" t="str">
            <v>Arthur Mellows Village College</v>
          </cell>
          <cell r="J12" t="str">
            <v>Eastern</v>
          </cell>
          <cell r="K12" t="str">
            <v>Large</v>
          </cell>
          <cell r="L12" t="str">
            <v>EFA</v>
          </cell>
        </row>
        <row r="13">
          <cell r="F13">
            <v>2126905</v>
          </cell>
          <cell r="G13" t="str">
            <v>Individual</v>
          </cell>
          <cell r="H13" t="str">
            <v>-</v>
          </cell>
          <cell r="I13" t="str">
            <v>Ashcroft Technology Academy</v>
          </cell>
          <cell r="J13" t="str">
            <v>Southern</v>
          </cell>
          <cell r="K13" t="str">
            <v>Large</v>
          </cell>
          <cell r="L13" t="str">
            <v>EFA</v>
          </cell>
        </row>
        <row r="14">
          <cell r="F14">
            <v>9374241</v>
          </cell>
          <cell r="G14" t="str">
            <v>Individual</v>
          </cell>
          <cell r="H14" t="str">
            <v>-</v>
          </cell>
          <cell r="I14" t="str">
            <v>Ashlawn School</v>
          </cell>
          <cell r="J14" t="str">
            <v>Western</v>
          </cell>
          <cell r="K14" t="str">
            <v>Large</v>
          </cell>
          <cell r="L14" t="str">
            <v>EFA</v>
          </cell>
        </row>
        <row r="15">
          <cell r="F15">
            <v>3025406</v>
          </cell>
          <cell r="G15" t="str">
            <v>Individual</v>
          </cell>
          <cell r="H15" t="str">
            <v>-</v>
          </cell>
          <cell r="I15" t="str">
            <v>Ashmole Academy</v>
          </cell>
          <cell r="J15" t="str">
            <v>Southern</v>
          </cell>
          <cell r="K15" t="str">
            <v>Large</v>
          </cell>
          <cell r="L15" t="str">
            <v>EFA</v>
          </cell>
        </row>
        <row r="16">
          <cell r="F16">
            <v>3575400</v>
          </cell>
          <cell r="G16" t="str">
            <v xml:space="preserve">Individual </v>
          </cell>
          <cell r="H16" t="str">
            <v>-</v>
          </cell>
          <cell r="I16" t="str">
            <v>Audenshaw School</v>
          </cell>
          <cell r="J16" t="str">
            <v>Northern</v>
          </cell>
          <cell r="K16" t="str">
            <v>Large</v>
          </cell>
          <cell r="L16" t="str">
            <v>EFA</v>
          </cell>
        </row>
        <row r="17">
          <cell r="F17">
            <v>8254500</v>
          </cell>
          <cell r="G17" t="str">
            <v>Individual</v>
          </cell>
          <cell r="H17" t="str">
            <v>-</v>
          </cell>
          <cell r="I17" t="str">
            <v>Aylesbury Grammar School</v>
          </cell>
          <cell r="J17" t="str">
            <v>Southern</v>
          </cell>
          <cell r="K17" t="str">
            <v>Large</v>
          </cell>
          <cell r="L17" t="str">
            <v>EFA</v>
          </cell>
        </row>
        <row r="18">
          <cell r="F18">
            <v>2106911</v>
          </cell>
          <cell r="G18" t="str">
            <v>Individual</v>
          </cell>
          <cell r="H18" t="str">
            <v>-</v>
          </cell>
          <cell r="I18" t="str">
            <v>Bacon's College</v>
          </cell>
          <cell r="J18" t="str">
            <v>Southern</v>
          </cell>
          <cell r="K18" t="str">
            <v>Large</v>
          </cell>
          <cell r="L18" t="str">
            <v>EFA</v>
          </cell>
        </row>
        <row r="19">
          <cell r="F19">
            <v>9165408</v>
          </cell>
          <cell r="G19" t="str">
            <v>Individual</v>
          </cell>
          <cell r="H19" t="str">
            <v>-</v>
          </cell>
          <cell r="I19" t="str">
            <v>Balcarras School</v>
          </cell>
          <cell r="J19" t="str">
            <v>Western</v>
          </cell>
          <cell r="K19" t="str">
            <v>Large</v>
          </cell>
          <cell r="L19" t="str">
            <v>EFA</v>
          </cell>
        </row>
        <row r="20">
          <cell r="F20">
            <v>8912921</v>
          </cell>
          <cell r="G20">
            <v>0</v>
          </cell>
          <cell r="H20" t="str">
            <v>-</v>
          </cell>
          <cell r="I20" t="str">
            <v>Barnby Road Primary and Nursery school</v>
          </cell>
          <cell r="J20" t="str">
            <v>Eastern</v>
          </cell>
          <cell r="K20" t="str">
            <v>Small</v>
          </cell>
          <cell r="L20" t="str">
            <v>EFA</v>
          </cell>
        </row>
        <row r="21">
          <cell r="F21">
            <v>8216907</v>
          </cell>
          <cell r="G21">
            <v>0</v>
          </cell>
          <cell r="H21" t="str">
            <v>-</v>
          </cell>
          <cell r="I21" t="str">
            <v>Barnfield Business and Enterprise Studio Academy</v>
          </cell>
          <cell r="J21" t="str">
            <v>Eastern</v>
          </cell>
          <cell r="K21" t="str">
            <v>Small</v>
          </cell>
          <cell r="L21" t="str">
            <v>EFA</v>
          </cell>
        </row>
        <row r="22">
          <cell r="F22">
            <v>8216906</v>
          </cell>
          <cell r="G22">
            <v>0</v>
          </cell>
          <cell r="H22" t="str">
            <v>-</v>
          </cell>
          <cell r="I22" t="str">
            <v>Barnfield South Academy</v>
          </cell>
          <cell r="J22" t="str">
            <v>Eastern</v>
          </cell>
          <cell r="K22" t="str">
            <v>Large</v>
          </cell>
          <cell r="L22" t="str">
            <v>EFA</v>
          </cell>
        </row>
        <row r="23">
          <cell r="F23">
            <v>8216905</v>
          </cell>
          <cell r="G23">
            <v>0</v>
          </cell>
          <cell r="H23" t="str">
            <v>-</v>
          </cell>
          <cell r="I23" t="str">
            <v>Barnfield West Academy</v>
          </cell>
          <cell r="J23" t="str">
            <v>Eastern</v>
          </cell>
          <cell r="K23" t="str">
            <v>Large</v>
          </cell>
          <cell r="L23" t="str">
            <v>EFA</v>
          </cell>
        </row>
        <row r="24">
          <cell r="F24">
            <v>3304108</v>
          </cell>
          <cell r="G24" t="str">
            <v>Individual</v>
          </cell>
          <cell r="H24" t="str">
            <v>-</v>
          </cell>
          <cell r="I24" t="str">
            <v>Bartley Green School (A Specialist Technology &amp; Sports College)</v>
          </cell>
          <cell r="J24" t="str">
            <v>Western</v>
          </cell>
          <cell r="K24" t="str">
            <v>Large</v>
          </cell>
          <cell r="L24" t="str">
            <v>EFA</v>
          </cell>
        </row>
        <row r="25">
          <cell r="F25">
            <v>3055408</v>
          </cell>
          <cell r="G25" t="str">
            <v>Individual</v>
          </cell>
          <cell r="H25" t="str">
            <v>-</v>
          </cell>
          <cell r="I25" t="str">
            <v>Beaverwood School for Girls</v>
          </cell>
          <cell r="J25" t="str">
            <v>Southern</v>
          </cell>
          <cell r="K25" t="str">
            <v>Large</v>
          </cell>
          <cell r="L25" t="str">
            <v>EFA</v>
          </cell>
        </row>
        <row r="26">
          <cell r="F26">
            <v>9296905</v>
          </cell>
          <cell r="G26" t="str">
            <v>Individual</v>
          </cell>
          <cell r="H26" t="str">
            <v>-</v>
          </cell>
          <cell r="I26" t="str">
            <v>Bede Academy</v>
          </cell>
          <cell r="J26" t="str">
            <v>Southern</v>
          </cell>
          <cell r="K26" t="str">
            <v>Large</v>
          </cell>
          <cell r="L26" t="str">
            <v>EFA</v>
          </cell>
        </row>
        <row r="27">
          <cell r="F27">
            <v>8865464</v>
          </cell>
          <cell r="G27" t="str">
            <v>Individual</v>
          </cell>
          <cell r="H27" t="str">
            <v>-</v>
          </cell>
          <cell r="I27" t="str">
            <v xml:space="preserve">Bennett Memorial Diocesan School </v>
          </cell>
          <cell r="J27" t="str">
            <v>Southern</v>
          </cell>
          <cell r="K27" t="str">
            <v>Large</v>
          </cell>
          <cell r="L27" t="str">
            <v>EFA</v>
          </cell>
        </row>
        <row r="28">
          <cell r="F28">
            <v>3035403</v>
          </cell>
          <cell r="G28" t="str">
            <v>Individual</v>
          </cell>
          <cell r="H28" t="str">
            <v>-</v>
          </cell>
          <cell r="I28" t="str">
            <v>Beths Grammar School</v>
          </cell>
          <cell r="J28" t="str">
            <v>Southern</v>
          </cell>
          <cell r="K28" t="str">
            <v>Large</v>
          </cell>
          <cell r="L28" t="str">
            <v>EFA</v>
          </cell>
        </row>
        <row r="29">
          <cell r="F29">
            <v>3034000</v>
          </cell>
          <cell r="G29" t="str">
            <v>Individual</v>
          </cell>
          <cell r="H29" t="str">
            <v>-</v>
          </cell>
          <cell r="I29" t="str">
            <v>Bexley Grammar School</v>
          </cell>
          <cell r="J29" t="str">
            <v>Southern</v>
          </cell>
          <cell r="K29" t="str">
            <v>Large</v>
          </cell>
          <cell r="L29" t="str">
            <v>EFA</v>
          </cell>
        </row>
        <row r="30">
          <cell r="F30">
            <v>8742288</v>
          </cell>
          <cell r="G30">
            <v>0</v>
          </cell>
          <cell r="H30" t="str">
            <v>-</v>
          </cell>
          <cell r="I30" t="str">
            <v>Bishop Creighton Primary School</v>
          </cell>
          <cell r="J30" t="str">
            <v>Eastern</v>
          </cell>
          <cell r="K30" t="str">
            <v>Small</v>
          </cell>
          <cell r="L30" t="str">
            <v>EFA</v>
          </cell>
        </row>
        <row r="31">
          <cell r="F31">
            <v>3054604</v>
          </cell>
          <cell r="G31" t="str">
            <v>Individual</v>
          </cell>
          <cell r="H31" t="str">
            <v>-</v>
          </cell>
          <cell r="I31" t="str">
            <v xml:space="preserve">Bishop Justus Church of England School </v>
          </cell>
          <cell r="J31" t="str">
            <v>Southern</v>
          </cell>
          <cell r="K31" t="str">
            <v>Large</v>
          </cell>
          <cell r="L31" t="str">
            <v>EFA</v>
          </cell>
        </row>
        <row r="32">
          <cell r="F32">
            <v>8876907</v>
          </cell>
          <cell r="G32" t="str">
            <v>Individual</v>
          </cell>
          <cell r="H32" t="str">
            <v>-</v>
          </cell>
          <cell r="I32" t="str">
            <v>Bishop of Rochester Academy</v>
          </cell>
          <cell r="J32" t="str">
            <v>Southern</v>
          </cell>
          <cell r="K32" t="str">
            <v>Large</v>
          </cell>
          <cell r="L32" t="str">
            <v>EFA</v>
          </cell>
        </row>
        <row r="33">
          <cell r="F33">
            <v>8655413</v>
          </cell>
          <cell r="G33" t="str">
            <v>Individual</v>
          </cell>
          <cell r="H33" t="str">
            <v>-</v>
          </cell>
          <cell r="I33" t="str">
            <v>Bishop Wordsworth's Grammar School</v>
          </cell>
          <cell r="J33" t="str">
            <v>Western</v>
          </cell>
          <cell r="K33" t="str">
            <v>Large</v>
          </cell>
          <cell r="L33" t="str">
            <v>EFA</v>
          </cell>
        </row>
        <row r="34">
          <cell r="F34">
            <v>9084154</v>
          </cell>
          <cell r="G34" t="str">
            <v>Individual</v>
          </cell>
          <cell r="H34" t="str">
            <v>-</v>
          </cell>
          <cell r="I34" t="str">
            <v>Bodmin College</v>
          </cell>
          <cell r="J34" t="str">
            <v>Western</v>
          </cell>
          <cell r="K34" t="str">
            <v>Large</v>
          </cell>
          <cell r="L34" t="str">
            <v>EFA</v>
          </cell>
        </row>
        <row r="35">
          <cell r="F35">
            <v>8505407</v>
          </cell>
          <cell r="G35" t="str">
            <v>Individual</v>
          </cell>
          <cell r="H35" t="str">
            <v>-</v>
          </cell>
          <cell r="I35" t="str">
            <v>Bohunt School</v>
          </cell>
          <cell r="J35" t="str">
            <v>Southern</v>
          </cell>
          <cell r="K35" t="str">
            <v>Large</v>
          </cell>
          <cell r="L35" t="str">
            <v>EFA</v>
          </cell>
        </row>
        <row r="36">
          <cell r="F36">
            <v>3506906</v>
          </cell>
          <cell r="G36" t="str">
            <v xml:space="preserve">Individual </v>
          </cell>
          <cell r="H36" t="str">
            <v>-</v>
          </cell>
          <cell r="I36" t="str">
            <v>Bolton St Catherine's Academy</v>
          </cell>
          <cell r="J36" t="str">
            <v>Northern</v>
          </cell>
          <cell r="K36" t="str">
            <v>Large</v>
          </cell>
          <cell r="L36" t="str">
            <v>EFA</v>
          </cell>
        </row>
        <row r="37">
          <cell r="F37">
            <v>9253510</v>
          </cell>
          <cell r="G37">
            <v>0</v>
          </cell>
          <cell r="H37" t="str">
            <v>-</v>
          </cell>
          <cell r="I37" t="str">
            <v xml:space="preserve">Bourne Abbey Church of England Primary School   </v>
          </cell>
          <cell r="J37" t="str">
            <v>Eastern</v>
          </cell>
          <cell r="K37" t="str">
            <v>Small</v>
          </cell>
          <cell r="L37" t="str">
            <v>EFA</v>
          </cell>
        </row>
        <row r="38">
          <cell r="F38">
            <v>3806906</v>
          </cell>
          <cell r="G38" t="str">
            <v xml:space="preserve">Individual </v>
          </cell>
          <cell r="H38" t="str">
            <v>-</v>
          </cell>
          <cell r="I38" t="str">
            <v>Bradford Academy</v>
          </cell>
          <cell r="J38" t="str">
            <v>Northern</v>
          </cell>
          <cell r="K38" t="str">
            <v>Large</v>
          </cell>
          <cell r="L38" t="str">
            <v>EFA</v>
          </cell>
        </row>
        <row r="39">
          <cell r="F39">
            <v>3164031</v>
          </cell>
          <cell r="G39" t="str">
            <v>Individual</v>
          </cell>
          <cell r="H39" t="str">
            <v>-</v>
          </cell>
          <cell r="I39" t="str">
            <v>Brampton Manor Academy</v>
          </cell>
          <cell r="J39" t="str">
            <v>Southern</v>
          </cell>
          <cell r="K39">
            <v>0</v>
          </cell>
          <cell r="L39" t="str">
            <v>EFA</v>
          </cell>
        </row>
        <row r="40">
          <cell r="F40">
            <v>9255418</v>
          </cell>
          <cell r="G40">
            <v>0</v>
          </cell>
          <cell r="H40" t="str">
            <v>-</v>
          </cell>
          <cell r="I40" t="str">
            <v>Branston Community Academy</v>
          </cell>
          <cell r="J40" t="str">
            <v>Eastern</v>
          </cell>
          <cell r="K40" t="str">
            <v>Large</v>
          </cell>
          <cell r="L40" t="str">
            <v>EFA</v>
          </cell>
        </row>
        <row r="41">
          <cell r="F41">
            <v>8466905</v>
          </cell>
          <cell r="G41" t="str">
            <v>Individual</v>
          </cell>
          <cell r="H41" t="str">
            <v>-</v>
          </cell>
          <cell r="I41" t="str">
            <v>Brighton Aldridge Community Academy</v>
          </cell>
          <cell r="J41" t="str">
            <v>Southern</v>
          </cell>
          <cell r="K41" t="str">
            <v>Large</v>
          </cell>
          <cell r="L41" t="str">
            <v>EFA</v>
          </cell>
        </row>
        <row r="42">
          <cell r="F42">
            <v>8954220</v>
          </cell>
          <cell r="G42" t="str">
            <v xml:space="preserve">Individual </v>
          </cell>
          <cell r="H42" t="str">
            <v>-</v>
          </cell>
          <cell r="I42" t="str">
            <v>Brine Leas High School</v>
          </cell>
          <cell r="J42" t="str">
            <v>Northern</v>
          </cell>
          <cell r="K42" t="str">
            <v>Large</v>
          </cell>
          <cell r="L42" t="str">
            <v>EFA</v>
          </cell>
        </row>
        <row r="43">
          <cell r="F43">
            <v>3724024</v>
          </cell>
          <cell r="G43" t="str">
            <v xml:space="preserve">Individual </v>
          </cell>
          <cell r="H43" t="str">
            <v>-</v>
          </cell>
          <cell r="I43" t="str">
            <v>Brinsworth School</v>
          </cell>
          <cell r="J43" t="str">
            <v>Northern</v>
          </cell>
          <cell r="K43">
            <v>0</v>
          </cell>
          <cell r="L43" t="str">
            <v>EFA</v>
          </cell>
        </row>
        <row r="44">
          <cell r="F44">
            <v>8016908</v>
          </cell>
          <cell r="G44" t="str">
            <v>Individual</v>
          </cell>
          <cell r="H44" t="str">
            <v>-</v>
          </cell>
          <cell r="I44" t="str">
            <v>Bristol Cathedral Choir School</v>
          </cell>
          <cell r="J44" t="str">
            <v>Western</v>
          </cell>
          <cell r="K44" t="str">
            <v>Small</v>
          </cell>
          <cell r="L44" t="str">
            <v>EFA</v>
          </cell>
        </row>
        <row r="45">
          <cell r="F45">
            <v>8782004</v>
          </cell>
          <cell r="G45" t="str">
            <v>Individual</v>
          </cell>
          <cell r="H45" t="str">
            <v>-</v>
          </cell>
          <cell r="I45" t="str">
            <v>Broadclyst Community Primary School</v>
          </cell>
          <cell r="J45" t="str">
            <v>Western</v>
          </cell>
          <cell r="K45" t="str">
            <v>Small</v>
          </cell>
          <cell r="L45" t="str">
            <v>EFA</v>
          </cell>
        </row>
        <row r="46">
          <cell r="F46">
            <v>8876906</v>
          </cell>
          <cell r="G46" t="str">
            <v>Individual</v>
          </cell>
          <cell r="H46" t="str">
            <v>-</v>
          </cell>
          <cell r="I46" t="str">
            <v>Brompton Academy</v>
          </cell>
          <cell r="J46" t="str">
            <v>Southern</v>
          </cell>
          <cell r="K46">
            <v>0</v>
          </cell>
          <cell r="L46" t="str">
            <v>EFA</v>
          </cell>
        </row>
        <row r="47">
          <cell r="F47">
            <v>9286907</v>
          </cell>
          <cell r="G47">
            <v>0</v>
          </cell>
          <cell r="H47" t="str">
            <v>-</v>
          </cell>
          <cell r="I47" t="str">
            <v>Brooke Weston Academy</v>
          </cell>
          <cell r="J47" t="str">
            <v>Eastern</v>
          </cell>
          <cell r="K47">
            <v>0</v>
          </cell>
          <cell r="L47" t="str">
            <v>EFA</v>
          </cell>
        </row>
        <row r="48">
          <cell r="F48">
            <v>9255406</v>
          </cell>
          <cell r="G48">
            <v>0</v>
          </cell>
          <cell r="H48" t="str">
            <v>-</v>
          </cell>
          <cell r="I48" t="str">
            <v>Caistor Grammar School</v>
          </cell>
          <cell r="J48" t="str">
            <v>Eastern</v>
          </cell>
          <cell r="K48" t="str">
            <v>Small</v>
          </cell>
          <cell r="L48" t="str">
            <v>EFA</v>
          </cell>
        </row>
        <row r="49">
          <cell r="F49">
            <v>3046905</v>
          </cell>
          <cell r="G49" t="str">
            <v>Individual</v>
          </cell>
          <cell r="H49" t="str">
            <v>-</v>
          </cell>
          <cell r="I49" t="str">
            <v>Capital City Academy</v>
          </cell>
          <cell r="J49" t="str">
            <v>Southern</v>
          </cell>
          <cell r="K49" t="str">
            <v>Large</v>
          </cell>
          <cell r="L49" t="str">
            <v>EFA</v>
          </cell>
        </row>
        <row r="50">
          <cell r="F50">
            <v>8914107</v>
          </cell>
          <cell r="G50">
            <v>0</v>
          </cell>
          <cell r="H50" t="str">
            <v>-</v>
          </cell>
          <cell r="I50" t="str">
            <v>Carlton Le Willows Academy</v>
          </cell>
          <cell r="J50" t="str">
            <v>Eastern</v>
          </cell>
          <cell r="K50">
            <v>0</v>
          </cell>
          <cell r="L50" t="str">
            <v>EFA</v>
          </cell>
        </row>
        <row r="51">
          <cell r="F51">
            <v>8864207</v>
          </cell>
          <cell r="G51" t="str">
            <v>Individual</v>
          </cell>
          <cell r="H51" t="str">
            <v>-</v>
          </cell>
          <cell r="I51" t="str">
            <v>Castle Community College</v>
          </cell>
          <cell r="J51" t="str">
            <v>Southern</v>
          </cell>
          <cell r="K51" t="str">
            <v>Large</v>
          </cell>
          <cell r="L51" t="str">
            <v>EFA</v>
          </cell>
        </row>
        <row r="52">
          <cell r="F52">
            <v>3946906</v>
          </cell>
          <cell r="G52" t="str">
            <v xml:space="preserve">Individual </v>
          </cell>
          <cell r="H52" t="str">
            <v>-</v>
          </cell>
          <cell r="I52" t="str">
            <v>Castle View Enterprise Academy</v>
          </cell>
          <cell r="J52" t="str">
            <v>Northern</v>
          </cell>
          <cell r="K52" t="str">
            <v>Large</v>
          </cell>
          <cell r="L52" t="str">
            <v>EFA</v>
          </cell>
        </row>
        <row r="53">
          <cell r="F53">
            <v>3055409</v>
          </cell>
          <cell r="G53" t="str">
            <v>Individual</v>
          </cell>
          <cell r="H53" t="str">
            <v>-</v>
          </cell>
          <cell r="I53" t="str">
            <v>Charles Darwin Academy Trust</v>
          </cell>
          <cell r="J53" t="str">
            <v>Southern</v>
          </cell>
          <cell r="K53">
            <v>0</v>
          </cell>
          <cell r="L53" t="str">
            <v>EFA</v>
          </cell>
        </row>
        <row r="54">
          <cell r="F54">
            <v>8874068</v>
          </cell>
          <cell r="G54" t="str">
            <v>Individual</v>
          </cell>
          <cell r="H54" t="str">
            <v>-</v>
          </cell>
          <cell r="I54" t="str">
            <v>Chatham Grammar School for Boys</v>
          </cell>
          <cell r="J54" t="str">
            <v>Southern</v>
          </cell>
          <cell r="K54">
            <v>0</v>
          </cell>
          <cell r="L54" t="str">
            <v>EFA</v>
          </cell>
        </row>
        <row r="55">
          <cell r="F55">
            <v>3192010</v>
          </cell>
          <cell r="G55" t="str">
            <v>Individual</v>
          </cell>
          <cell r="H55" t="str">
            <v>-</v>
          </cell>
          <cell r="I55" t="str">
            <v>Cheam Park Farm Junior School</v>
          </cell>
          <cell r="J55" t="str">
            <v>Southern</v>
          </cell>
          <cell r="K55" t="str">
            <v>Small</v>
          </cell>
          <cell r="L55" t="str">
            <v>EFA</v>
          </cell>
        </row>
        <row r="56">
          <cell r="F56">
            <v>8315402</v>
          </cell>
          <cell r="G56">
            <v>0</v>
          </cell>
          <cell r="H56" t="str">
            <v>-</v>
          </cell>
          <cell r="I56" t="str">
            <v>Chellaston Academy</v>
          </cell>
          <cell r="J56" t="str">
            <v>Eastern</v>
          </cell>
          <cell r="K56">
            <v>0</v>
          </cell>
          <cell r="L56" t="str">
            <v>EFA</v>
          </cell>
        </row>
        <row r="57">
          <cell r="F57">
            <v>8815410</v>
          </cell>
          <cell r="G57">
            <v>0</v>
          </cell>
          <cell r="H57" t="str">
            <v>-</v>
          </cell>
          <cell r="I57" t="str">
            <v>Chelmsford County High School</v>
          </cell>
          <cell r="J57" t="str">
            <v>Eastern</v>
          </cell>
          <cell r="K57">
            <v>0</v>
          </cell>
          <cell r="L57" t="str">
            <v>EFA</v>
          </cell>
        </row>
        <row r="58">
          <cell r="F58">
            <v>2076905</v>
          </cell>
          <cell r="G58" t="str">
            <v>Individual</v>
          </cell>
          <cell r="H58" t="str">
            <v>-</v>
          </cell>
          <cell r="I58" t="str">
            <v>Chelsea Academy</v>
          </cell>
          <cell r="J58" t="str">
            <v>Southern</v>
          </cell>
          <cell r="K58">
            <v>0</v>
          </cell>
          <cell r="L58" t="str">
            <v>EFA</v>
          </cell>
        </row>
        <row r="59">
          <cell r="F59">
            <v>8702031</v>
          </cell>
          <cell r="G59" t="str">
            <v>Individual</v>
          </cell>
          <cell r="H59" t="str">
            <v>-</v>
          </cell>
          <cell r="I59" t="str">
            <v>Churchend Primary School</v>
          </cell>
          <cell r="J59" t="str">
            <v>Southern</v>
          </cell>
          <cell r="K59" t="str">
            <v>Small</v>
          </cell>
          <cell r="L59" t="str">
            <v>EFA</v>
          </cell>
        </row>
        <row r="60">
          <cell r="F60">
            <v>8804116</v>
          </cell>
          <cell r="G60" t="str">
            <v>Individual</v>
          </cell>
          <cell r="H60" t="str">
            <v>-</v>
          </cell>
          <cell r="I60" t="str">
            <v>Churston Ferrers Grammar School</v>
          </cell>
          <cell r="J60" t="str">
            <v>Western</v>
          </cell>
          <cell r="K60" t="str">
            <v>Small</v>
          </cell>
          <cell r="L60" t="str">
            <v>EFA</v>
          </cell>
        </row>
        <row r="61">
          <cell r="F61">
            <v>9165420</v>
          </cell>
          <cell r="G61" t="str">
            <v>Individual</v>
          </cell>
          <cell r="H61" t="str">
            <v>-</v>
          </cell>
          <cell r="I61" t="str">
            <v>Cirencester Deer Park School</v>
          </cell>
          <cell r="J61" t="str">
            <v>Western</v>
          </cell>
          <cell r="K61">
            <v>0</v>
          </cell>
          <cell r="L61" t="str">
            <v>EFA</v>
          </cell>
        </row>
        <row r="62">
          <cell r="F62">
            <v>9266906</v>
          </cell>
          <cell r="G62">
            <v>0</v>
          </cell>
          <cell r="H62" t="str">
            <v>-</v>
          </cell>
          <cell r="I62" t="str">
            <v>City Academy Norwich</v>
          </cell>
          <cell r="J62" t="str">
            <v>Eastern</v>
          </cell>
          <cell r="K62">
            <v>0</v>
          </cell>
          <cell r="L62" t="str">
            <v>EFA</v>
          </cell>
        </row>
        <row r="63">
          <cell r="F63">
            <v>2066906</v>
          </cell>
          <cell r="G63" t="str">
            <v>Individual</v>
          </cell>
          <cell r="H63" t="str">
            <v>-</v>
          </cell>
          <cell r="I63" t="str">
            <v>City of London Academy, Islington</v>
          </cell>
          <cell r="J63" t="str">
            <v>Southern</v>
          </cell>
          <cell r="K63">
            <v>0</v>
          </cell>
          <cell r="L63" t="str">
            <v>EFA</v>
          </cell>
        </row>
        <row r="64">
          <cell r="F64">
            <v>8126908</v>
          </cell>
          <cell r="G64" t="str">
            <v xml:space="preserve">Individual </v>
          </cell>
          <cell r="H64" t="str">
            <v>-</v>
          </cell>
          <cell r="I64" t="str">
            <v>Cleethorpes Academy</v>
          </cell>
          <cell r="J64" t="str">
            <v>Northern</v>
          </cell>
          <cell r="K64">
            <v>0</v>
          </cell>
          <cell r="L64" t="str">
            <v>EFA</v>
          </cell>
        </row>
        <row r="65">
          <cell r="F65">
            <v>9365221</v>
          </cell>
          <cell r="G65" t="str">
            <v>Individual</v>
          </cell>
          <cell r="H65" t="str">
            <v>-</v>
          </cell>
          <cell r="I65" t="str">
            <v>Cleves School</v>
          </cell>
          <cell r="J65" t="str">
            <v>Southern</v>
          </cell>
          <cell r="K65" t="str">
            <v>Small</v>
          </cell>
          <cell r="L65" t="str">
            <v>EFA</v>
          </cell>
        </row>
        <row r="66">
          <cell r="F66">
            <v>8885403</v>
          </cell>
          <cell r="G66" t="str">
            <v xml:space="preserve">Individual </v>
          </cell>
          <cell r="H66" t="str">
            <v>-</v>
          </cell>
          <cell r="I66" t="str">
            <v>Clitheroe Royal Grammar School</v>
          </cell>
          <cell r="J66" t="str">
            <v>Northern</v>
          </cell>
          <cell r="K66">
            <v>0</v>
          </cell>
          <cell r="L66" t="str">
            <v>EFA</v>
          </cell>
        </row>
        <row r="67">
          <cell r="F67">
            <v>8816911</v>
          </cell>
          <cell r="G67">
            <v>0</v>
          </cell>
          <cell r="H67" t="str">
            <v>-</v>
          </cell>
          <cell r="I67" t="str">
            <v>Colchester Academy</v>
          </cell>
          <cell r="J67" t="str">
            <v>Eastern</v>
          </cell>
          <cell r="K67">
            <v>0</v>
          </cell>
          <cell r="L67" t="str">
            <v>EFA</v>
          </cell>
        </row>
        <row r="68">
          <cell r="F68">
            <v>8016909</v>
          </cell>
          <cell r="G68" t="str">
            <v>Individual</v>
          </cell>
          <cell r="H68" t="str">
            <v>-</v>
          </cell>
          <cell r="I68" t="str">
            <v>Colston's Girls' School</v>
          </cell>
          <cell r="J68" t="str">
            <v>Western</v>
          </cell>
          <cell r="K68" t="str">
            <v>Small</v>
          </cell>
          <cell r="L68" t="str">
            <v>EFA</v>
          </cell>
        </row>
        <row r="69">
          <cell r="F69">
            <v>8785400</v>
          </cell>
          <cell r="G69" t="str">
            <v>Individual</v>
          </cell>
          <cell r="H69" t="str">
            <v>-</v>
          </cell>
          <cell r="I69" t="str">
            <v>Colyton Grammar School</v>
          </cell>
          <cell r="J69" t="str">
            <v>Western</v>
          </cell>
          <cell r="K69" t="str">
            <v>Small</v>
          </cell>
          <cell r="L69" t="str">
            <v>EFA</v>
          </cell>
        </row>
        <row r="70">
          <cell r="F70">
            <v>8735406</v>
          </cell>
          <cell r="G70">
            <v>0</v>
          </cell>
          <cell r="H70" t="str">
            <v>-</v>
          </cell>
          <cell r="I70" t="str">
            <v>Comberton Village College</v>
          </cell>
          <cell r="J70" t="str">
            <v>Eastern</v>
          </cell>
          <cell r="K70">
            <v>0</v>
          </cell>
          <cell r="L70" t="str">
            <v>EFA</v>
          </cell>
        </row>
        <row r="71">
          <cell r="F71">
            <v>8954226</v>
          </cell>
          <cell r="G71" t="str">
            <v xml:space="preserve">Individual </v>
          </cell>
          <cell r="H71" t="str">
            <v>-</v>
          </cell>
          <cell r="I71" t="str">
            <v>Congleton High School</v>
          </cell>
          <cell r="J71" t="str">
            <v>Northern</v>
          </cell>
          <cell r="K71">
            <v>0</v>
          </cell>
          <cell r="L71" t="str">
            <v>EFA</v>
          </cell>
        </row>
        <row r="72">
          <cell r="F72">
            <v>3055401</v>
          </cell>
          <cell r="G72" t="str">
            <v>Individual</v>
          </cell>
          <cell r="H72" t="str">
            <v>-</v>
          </cell>
          <cell r="I72" t="str">
            <v>Coopers Technology College</v>
          </cell>
          <cell r="J72" t="str">
            <v>Southern</v>
          </cell>
          <cell r="K72">
            <v>0</v>
          </cell>
          <cell r="L72" t="str">
            <v>EFA</v>
          </cell>
        </row>
        <row r="73">
          <cell r="F73">
            <v>8365410</v>
          </cell>
          <cell r="G73" t="str">
            <v>Individual</v>
          </cell>
          <cell r="H73" t="str">
            <v>-</v>
          </cell>
          <cell r="I73" t="str">
            <v>Corfe Hills School Academt Trust</v>
          </cell>
          <cell r="J73" t="str">
            <v>Western</v>
          </cell>
          <cell r="K73">
            <v>0</v>
          </cell>
          <cell r="L73" t="str">
            <v>EFA</v>
          </cell>
        </row>
        <row r="74">
          <cell r="F74">
            <v>8735203</v>
          </cell>
          <cell r="G74">
            <v>0</v>
          </cell>
          <cell r="H74" t="str">
            <v>-</v>
          </cell>
          <cell r="I74" t="str">
            <v>Crosshall Infant School</v>
          </cell>
          <cell r="J74" t="str">
            <v>Eastern</v>
          </cell>
          <cell r="K74" t="str">
            <v>Small</v>
          </cell>
          <cell r="L74" t="str">
            <v>EFA</v>
          </cell>
        </row>
        <row r="75">
          <cell r="F75">
            <v>8735204</v>
          </cell>
          <cell r="G75">
            <v>0</v>
          </cell>
          <cell r="H75" t="str">
            <v>-</v>
          </cell>
          <cell r="I75" t="str">
            <v>Crosshall Junior School</v>
          </cell>
          <cell r="J75" t="str">
            <v>Eastern</v>
          </cell>
          <cell r="K75" t="str">
            <v>Small</v>
          </cell>
          <cell r="L75" t="str">
            <v>EFA</v>
          </cell>
        </row>
        <row r="76">
          <cell r="F76">
            <v>3346924</v>
          </cell>
          <cell r="G76" t="str">
            <v>Individual</v>
          </cell>
          <cell r="H76" t="str">
            <v>-</v>
          </cell>
          <cell r="I76" t="str">
            <v>CTC Kingshurst Academy</v>
          </cell>
          <cell r="J76" t="str">
            <v>Western</v>
          </cell>
          <cell r="K76">
            <v>0</v>
          </cell>
          <cell r="L76" t="str">
            <v>EFA</v>
          </cell>
        </row>
        <row r="77">
          <cell r="F77">
            <v>3055418</v>
          </cell>
          <cell r="G77" t="str">
            <v>Individual</v>
          </cell>
          <cell r="H77" t="str">
            <v>-</v>
          </cell>
          <cell r="I77" t="str">
            <v>Darrick Wood School</v>
          </cell>
          <cell r="J77" t="str">
            <v>Southern</v>
          </cell>
          <cell r="K77">
            <v>0</v>
          </cell>
          <cell r="L77" t="str">
            <v>EFA</v>
          </cell>
        </row>
        <row r="78">
          <cell r="F78">
            <v>8865406</v>
          </cell>
          <cell r="G78" t="str">
            <v>Individual</v>
          </cell>
          <cell r="H78" t="str">
            <v>-</v>
          </cell>
          <cell r="I78" t="str">
            <v>Dartford Grammar School</v>
          </cell>
          <cell r="J78" t="str">
            <v>Southern</v>
          </cell>
          <cell r="K78">
            <v>0</v>
          </cell>
          <cell r="L78" t="str">
            <v>EFA</v>
          </cell>
        </row>
        <row r="79">
          <cell r="F79">
            <v>8896905</v>
          </cell>
          <cell r="G79" t="str">
            <v xml:space="preserve">Individual </v>
          </cell>
          <cell r="H79" t="str">
            <v>-</v>
          </cell>
          <cell r="I79" t="str">
            <v>Darwen Aldridge Community Academy</v>
          </cell>
          <cell r="J79" t="str">
            <v>Northern</v>
          </cell>
          <cell r="K79">
            <v>0</v>
          </cell>
          <cell r="L79" t="str">
            <v>EFA</v>
          </cell>
        </row>
        <row r="80">
          <cell r="F80">
            <v>8815426</v>
          </cell>
          <cell r="G80">
            <v>0</v>
          </cell>
          <cell r="H80" t="str">
            <v>-</v>
          </cell>
          <cell r="I80" t="str">
            <v>Davenant Foundation School</v>
          </cell>
          <cell r="J80" t="str">
            <v>Eastern</v>
          </cell>
          <cell r="K80">
            <v>0</v>
          </cell>
          <cell r="L80" t="str">
            <v>EFA</v>
          </cell>
        </row>
        <row r="81">
          <cell r="F81">
            <v>3836905</v>
          </cell>
          <cell r="G81" t="str">
            <v xml:space="preserve">Individual </v>
          </cell>
          <cell r="H81" t="str">
            <v>-</v>
          </cell>
          <cell r="I81" t="str">
            <v>David Young Community Academy</v>
          </cell>
          <cell r="J81" t="str">
            <v>Northern</v>
          </cell>
          <cell r="K81">
            <v>0</v>
          </cell>
          <cell r="L81" t="str">
            <v>EFA</v>
          </cell>
        </row>
        <row r="82">
          <cell r="F82">
            <v>9254514</v>
          </cell>
          <cell r="G82">
            <v>0</v>
          </cell>
          <cell r="H82" t="str">
            <v>-</v>
          </cell>
          <cell r="I82" t="str">
            <v>De Aston School</v>
          </cell>
          <cell r="J82" t="str">
            <v>Eastern</v>
          </cell>
          <cell r="K82">
            <v>0</v>
          </cell>
          <cell r="L82" t="str">
            <v>EFA</v>
          </cell>
        </row>
        <row r="83">
          <cell r="F83">
            <v>9354504</v>
          </cell>
          <cell r="G83">
            <v>0</v>
          </cell>
          <cell r="H83" t="str">
            <v>-</v>
          </cell>
          <cell r="I83" t="str">
            <v>Debenham High School</v>
          </cell>
          <cell r="J83" t="str">
            <v>Eastern</v>
          </cell>
          <cell r="K83" t="str">
            <v>Small</v>
          </cell>
          <cell r="L83" t="str">
            <v>EFA</v>
          </cell>
        </row>
        <row r="84">
          <cell r="F84">
            <v>8963128</v>
          </cell>
          <cell r="G84" t="str">
            <v xml:space="preserve">Individual </v>
          </cell>
          <cell r="H84" t="str">
            <v>-</v>
          </cell>
          <cell r="I84" t="str">
            <v>Delamere CofE Primary Academy</v>
          </cell>
          <cell r="J84" t="str">
            <v>Northern</v>
          </cell>
          <cell r="K84" t="str">
            <v>Small</v>
          </cell>
          <cell r="L84" t="str">
            <v>EFA</v>
          </cell>
        </row>
        <row r="85">
          <cell r="F85">
            <v>8214104</v>
          </cell>
          <cell r="G85">
            <v>0</v>
          </cell>
          <cell r="H85" t="str">
            <v>-</v>
          </cell>
          <cell r="I85" t="str">
            <v>Denbigh High School</v>
          </cell>
          <cell r="J85" t="str">
            <v>Eastern</v>
          </cell>
          <cell r="K85">
            <v>0</v>
          </cell>
          <cell r="L85" t="str">
            <v>EFA</v>
          </cell>
        </row>
        <row r="86">
          <cell r="F86">
            <v>8265410</v>
          </cell>
          <cell r="G86" t="str">
            <v>Individual</v>
          </cell>
          <cell r="H86" t="str">
            <v>-</v>
          </cell>
          <cell r="I86" t="str">
            <v>Denbigh School</v>
          </cell>
          <cell r="J86" t="str">
            <v>Southern</v>
          </cell>
          <cell r="K86">
            <v>0</v>
          </cell>
          <cell r="L86" t="str">
            <v>EFA</v>
          </cell>
        </row>
        <row r="87">
          <cell r="F87">
            <v>8795406</v>
          </cell>
          <cell r="G87" t="str">
            <v>Individual</v>
          </cell>
          <cell r="H87" t="str">
            <v>-</v>
          </cell>
          <cell r="I87" t="str">
            <v>Devonport High School for Boys</v>
          </cell>
          <cell r="J87" t="str">
            <v>Western</v>
          </cell>
          <cell r="K87" t="str">
            <v>Large</v>
          </cell>
          <cell r="L87" t="str">
            <v>EFA</v>
          </cell>
        </row>
        <row r="88">
          <cell r="F88">
            <v>3806908</v>
          </cell>
          <cell r="G88" t="str">
            <v xml:space="preserve">Individual </v>
          </cell>
          <cell r="H88" t="str">
            <v>-</v>
          </cell>
          <cell r="I88" t="str">
            <v>Dixons Allerton Academy</v>
          </cell>
          <cell r="J88" t="str">
            <v>Northern</v>
          </cell>
          <cell r="K88" t="str">
            <v>Large</v>
          </cell>
          <cell r="L88" t="str">
            <v>EFA</v>
          </cell>
        </row>
        <row r="89">
          <cell r="F89">
            <v>3806905</v>
          </cell>
          <cell r="G89" t="str">
            <v xml:space="preserve">Individual </v>
          </cell>
          <cell r="H89" t="str">
            <v>-</v>
          </cell>
          <cell r="I89" t="str">
            <v>Dixons City Academy</v>
          </cell>
          <cell r="J89" t="str">
            <v>Northern</v>
          </cell>
          <cell r="K89" t="str">
            <v>Large</v>
          </cell>
          <cell r="L89" t="str">
            <v>EFA</v>
          </cell>
        </row>
        <row r="90">
          <cell r="F90">
            <v>8926905</v>
          </cell>
          <cell r="G90">
            <v>0</v>
          </cell>
          <cell r="H90" t="str">
            <v>-</v>
          </cell>
          <cell r="I90" t="str">
            <v>Djanogly City Academy</v>
          </cell>
          <cell r="J90" t="str">
            <v>Eastern</v>
          </cell>
          <cell r="K90">
            <v>0</v>
          </cell>
          <cell r="L90" t="str">
            <v>EFA</v>
          </cell>
        </row>
        <row r="91">
          <cell r="F91">
            <v>8866917</v>
          </cell>
          <cell r="G91" t="str">
            <v>Individual</v>
          </cell>
          <cell r="H91" t="str">
            <v>-</v>
          </cell>
          <cell r="I91" t="str">
            <v>Dover Christ Church Academy</v>
          </cell>
          <cell r="J91" t="str">
            <v>Southern</v>
          </cell>
          <cell r="K91">
            <v>0</v>
          </cell>
          <cell r="L91" t="str">
            <v>EFA</v>
          </cell>
        </row>
        <row r="92">
          <cell r="F92">
            <v>8254504</v>
          </cell>
          <cell r="G92" t="str">
            <v>Individual</v>
          </cell>
          <cell r="H92" t="str">
            <v>-</v>
          </cell>
          <cell r="I92" t="str">
            <v>Dr Challoner's Grammar School</v>
          </cell>
          <cell r="J92" t="str">
            <v>Southern</v>
          </cell>
          <cell r="K92">
            <v>0</v>
          </cell>
          <cell r="L92" t="str">
            <v>EFA</v>
          </cell>
        </row>
        <row r="93">
          <cell r="F93">
            <v>3116905</v>
          </cell>
          <cell r="G93" t="str">
            <v>Individual</v>
          </cell>
          <cell r="H93" t="str">
            <v>-</v>
          </cell>
          <cell r="I93" t="str">
            <v>Drapers' Academy</v>
          </cell>
          <cell r="J93" t="str">
            <v>Southern</v>
          </cell>
          <cell r="K93">
            <v>0</v>
          </cell>
          <cell r="L93" t="str">
            <v>EFA</v>
          </cell>
        </row>
        <row r="94">
          <cell r="F94">
            <v>3576906</v>
          </cell>
          <cell r="G94" t="str">
            <v xml:space="preserve">Individual </v>
          </cell>
          <cell r="H94" t="str">
            <v>-</v>
          </cell>
          <cell r="I94" t="str">
            <v>Droylsden Academy</v>
          </cell>
          <cell r="J94" t="str">
            <v>Northern</v>
          </cell>
          <cell r="K94">
            <v>0</v>
          </cell>
          <cell r="L94" t="str">
            <v>EFA</v>
          </cell>
        </row>
        <row r="95">
          <cell r="F95">
            <v>8866918</v>
          </cell>
          <cell r="G95" t="str">
            <v>Individual</v>
          </cell>
          <cell r="H95" t="str">
            <v>-</v>
          </cell>
          <cell r="I95" t="str">
            <v>Duke of York's Royal Military School- An Academy with Military Traditions</v>
          </cell>
          <cell r="J95" t="str">
            <v>Southern</v>
          </cell>
          <cell r="K95">
            <v>0</v>
          </cell>
          <cell r="L95" t="str">
            <v>EFA</v>
          </cell>
        </row>
        <row r="96">
          <cell r="F96">
            <v>2102169</v>
          </cell>
          <cell r="G96" t="str">
            <v>Individual</v>
          </cell>
          <cell r="H96" t="str">
            <v>-</v>
          </cell>
          <cell r="I96" t="str">
            <v>Dulwich Hamlet Educational Trust</v>
          </cell>
          <cell r="J96" t="str">
            <v>Southern</v>
          </cell>
          <cell r="K96" t="str">
            <v>Small</v>
          </cell>
          <cell r="L96" t="str">
            <v>EFA</v>
          </cell>
        </row>
        <row r="97">
          <cell r="F97">
            <v>2085207</v>
          </cell>
          <cell r="G97" t="str">
            <v>Individual</v>
          </cell>
          <cell r="H97" t="str">
            <v>-</v>
          </cell>
          <cell r="I97" t="str">
            <v>Durand Primary School</v>
          </cell>
          <cell r="J97" t="str">
            <v>Southern</v>
          </cell>
          <cell r="K97">
            <v>0</v>
          </cell>
          <cell r="L97" t="str">
            <v>EFA</v>
          </cell>
        </row>
        <row r="98">
          <cell r="F98">
            <v>8456905</v>
          </cell>
          <cell r="G98" t="str">
            <v>Individual</v>
          </cell>
          <cell r="H98" t="str">
            <v>-</v>
          </cell>
          <cell r="I98" t="str">
            <v>Eastbourne Academy</v>
          </cell>
          <cell r="J98" t="str">
            <v>Southern</v>
          </cell>
          <cell r="K98">
            <v>0</v>
          </cell>
          <cell r="L98" t="str">
            <v>EFA</v>
          </cell>
        </row>
        <row r="99">
          <cell r="F99">
            <v>3906900</v>
          </cell>
          <cell r="G99" t="str">
            <v>Individual</v>
          </cell>
          <cell r="H99" t="str">
            <v>-</v>
          </cell>
          <cell r="I99" t="str">
            <v>Emmanuel College</v>
          </cell>
          <cell r="J99" t="str">
            <v>Southern</v>
          </cell>
          <cell r="K99">
            <v>0</v>
          </cell>
          <cell r="L99" t="str">
            <v>EFA</v>
          </cell>
        </row>
        <row r="100">
          <cell r="F100">
            <v>3416908</v>
          </cell>
          <cell r="G100" t="str">
            <v xml:space="preserve">Individual </v>
          </cell>
          <cell r="H100" t="str">
            <v>-</v>
          </cell>
          <cell r="I100" t="str">
            <v>Enterprise South Liverpool Academy</v>
          </cell>
          <cell r="J100" t="str">
            <v>Northern</v>
          </cell>
          <cell r="K100">
            <v>0</v>
          </cell>
          <cell r="L100" t="str">
            <v>EFA</v>
          </cell>
        </row>
        <row r="101">
          <cell r="F101">
            <v>3034022</v>
          </cell>
          <cell r="G101" t="str">
            <v>Individual</v>
          </cell>
          <cell r="H101" t="str">
            <v>-</v>
          </cell>
          <cell r="I101" t="str">
            <v>Erith School</v>
          </cell>
          <cell r="J101" t="str">
            <v>Southern</v>
          </cell>
          <cell r="K101">
            <v>0</v>
          </cell>
          <cell r="L101" t="str">
            <v>EFA</v>
          </cell>
        </row>
        <row r="102">
          <cell r="F102">
            <v>3506905</v>
          </cell>
          <cell r="G102" t="str">
            <v xml:space="preserve">Individual </v>
          </cell>
          <cell r="H102" t="str">
            <v>-</v>
          </cell>
          <cell r="I102" t="str">
            <v>Essa Academy</v>
          </cell>
          <cell r="J102" t="str">
            <v>Northern</v>
          </cell>
          <cell r="K102">
            <v>0</v>
          </cell>
          <cell r="L102" t="str">
            <v>EFA</v>
          </cell>
        </row>
        <row r="103">
          <cell r="F103">
            <v>3916905</v>
          </cell>
          <cell r="G103" t="str">
            <v xml:space="preserve">Individual </v>
          </cell>
          <cell r="H103" t="str">
            <v>-</v>
          </cell>
          <cell r="I103" t="str">
            <v>Excelsior Academy</v>
          </cell>
          <cell r="J103" t="str">
            <v>Northern</v>
          </cell>
          <cell r="K103">
            <v>0</v>
          </cell>
          <cell r="L103" t="str">
            <v>EFA</v>
          </cell>
        </row>
        <row r="104">
          <cell r="F104">
            <v>3575402</v>
          </cell>
          <cell r="G104" t="str">
            <v xml:space="preserve">Individual </v>
          </cell>
          <cell r="H104" t="str">
            <v>-</v>
          </cell>
          <cell r="I104" t="str">
            <v>Fairfield High School for Girls</v>
          </cell>
          <cell r="J104" t="str">
            <v>Northern</v>
          </cell>
          <cell r="K104">
            <v>0</v>
          </cell>
          <cell r="L104" t="str">
            <v>BDO</v>
          </cell>
        </row>
        <row r="105">
          <cell r="F105">
            <v>8955401</v>
          </cell>
          <cell r="G105" t="str">
            <v xml:space="preserve">Individual </v>
          </cell>
          <cell r="H105" t="str">
            <v>-</v>
          </cell>
          <cell r="I105" t="str">
            <v>Fallibroome High School</v>
          </cell>
          <cell r="J105" t="str">
            <v>Northern</v>
          </cell>
          <cell r="K105">
            <v>0</v>
          </cell>
          <cell r="L105" t="str">
            <v>BDO</v>
          </cell>
        </row>
        <row r="106">
          <cell r="F106">
            <v>8813832</v>
          </cell>
          <cell r="G106">
            <v>0</v>
          </cell>
          <cell r="H106" t="str">
            <v>-</v>
          </cell>
          <cell r="I106" t="str">
            <v>Flitch Green Primary</v>
          </cell>
          <cell r="J106" t="str">
            <v>Eastern</v>
          </cell>
          <cell r="K106">
            <v>0</v>
          </cell>
          <cell r="L106" t="str">
            <v>BDO</v>
          </cell>
        </row>
        <row r="107">
          <cell r="F107">
            <v>9352003</v>
          </cell>
          <cell r="G107">
            <v>0</v>
          </cell>
          <cell r="H107" t="str">
            <v>-</v>
          </cell>
          <cell r="I107" t="str">
            <v>Forest Academy</v>
          </cell>
          <cell r="J107" t="str">
            <v>Eastern</v>
          </cell>
          <cell r="K107">
            <v>0</v>
          </cell>
          <cell r="L107" t="str">
            <v>BDO</v>
          </cell>
        </row>
        <row r="108">
          <cell r="F108">
            <v>8874069</v>
          </cell>
          <cell r="G108" t="str">
            <v>Individual</v>
          </cell>
          <cell r="H108" t="str">
            <v>-</v>
          </cell>
          <cell r="I108" t="str">
            <v>Fort Pitt Grammar School</v>
          </cell>
          <cell r="J108" t="str">
            <v>Southern</v>
          </cell>
          <cell r="K108">
            <v>0</v>
          </cell>
          <cell r="L108" t="str">
            <v>BDO</v>
          </cell>
        </row>
        <row r="109">
          <cell r="F109">
            <v>9252057</v>
          </cell>
          <cell r="G109">
            <v>0</v>
          </cell>
          <cell r="H109" t="str">
            <v>-</v>
          </cell>
          <cell r="I109" t="str">
            <v>Fosse Way Academy</v>
          </cell>
          <cell r="J109" t="str">
            <v>Eastern</v>
          </cell>
          <cell r="K109">
            <v>0</v>
          </cell>
          <cell r="L109" t="str">
            <v>BDO</v>
          </cell>
        </row>
        <row r="110">
          <cell r="F110">
            <v>9196905</v>
          </cell>
          <cell r="G110">
            <v>0</v>
          </cell>
          <cell r="H110" t="str">
            <v>-</v>
          </cell>
          <cell r="I110" t="str">
            <v>Francis Combe Academy</v>
          </cell>
          <cell r="J110" t="str">
            <v>Eastern</v>
          </cell>
          <cell r="K110">
            <v>0</v>
          </cell>
          <cell r="L110" t="str">
            <v>BDO</v>
          </cell>
        </row>
        <row r="111">
          <cell r="F111">
            <v>8076905</v>
          </cell>
          <cell r="G111" t="str">
            <v xml:space="preserve">Individual </v>
          </cell>
          <cell r="H111" t="str">
            <v>-</v>
          </cell>
          <cell r="I111" t="str">
            <v>Freebrough Academy</v>
          </cell>
          <cell r="J111" t="str">
            <v>Northern</v>
          </cell>
          <cell r="K111">
            <v>0</v>
          </cell>
          <cell r="L111" t="str">
            <v>BDO</v>
          </cell>
        </row>
        <row r="112">
          <cell r="F112">
            <v>8865414</v>
          </cell>
          <cell r="G112" t="str">
            <v>Individual</v>
          </cell>
          <cell r="H112" t="str">
            <v>-</v>
          </cell>
          <cell r="I112" t="str">
            <v>Fulston Manor School</v>
          </cell>
          <cell r="J112" t="str">
            <v>Southern</v>
          </cell>
          <cell r="K112">
            <v>0</v>
          </cell>
          <cell r="L112" t="str">
            <v>BDO</v>
          </cell>
        </row>
        <row r="113">
          <cell r="F113">
            <v>8886906</v>
          </cell>
          <cell r="G113" t="str">
            <v xml:space="preserve">Individual </v>
          </cell>
          <cell r="H113" t="str">
            <v>-</v>
          </cell>
          <cell r="I113" t="str">
            <v>Fulwood Academy</v>
          </cell>
          <cell r="J113" t="str">
            <v>Northern</v>
          </cell>
          <cell r="K113">
            <v>0</v>
          </cell>
          <cell r="L113" t="str">
            <v>BDO</v>
          </cell>
        </row>
        <row r="114">
          <cell r="F114">
            <v>9096908</v>
          </cell>
          <cell r="G114" t="str">
            <v xml:space="preserve">Individual </v>
          </cell>
          <cell r="H114" t="str">
            <v>-</v>
          </cell>
          <cell r="I114" t="str">
            <v>Furness Academy</v>
          </cell>
          <cell r="J114" t="str">
            <v>Northern</v>
          </cell>
          <cell r="K114">
            <v>0</v>
          </cell>
          <cell r="L114" t="str">
            <v>BDO</v>
          </cell>
        </row>
        <row r="115">
          <cell r="F115">
            <v>8915401</v>
          </cell>
          <cell r="G115">
            <v>0</v>
          </cell>
          <cell r="H115" t="str">
            <v>-</v>
          </cell>
          <cell r="I115" t="str">
            <v>George Spencer Foundation School and Technology College</v>
          </cell>
          <cell r="J115" t="str">
            <v>Eastern</v>
          </cell>
          <cell r="K115">
            <v>0</v>
          </cell>
          <cell r="L115" t="str">
            <v>BDO</v>
          </cell>
        </row>
        <row r="116">
          <cell r="F116">
            <v>9166906</v>
          </cell>
          <cell r="G116" t="str">
            <v>Individual</v>
          </cell>
          <cell r="H116" t="str">
            <v>-</v>
          </cell>
          <cell r="I116" t="str">
            <v>Gloucester Academy</v>
          </cell>
          <cell r="J116" t="str">
            <v>Western</v>
          </cell>
          <cell r="K116">
            <v>0</v>
          </cell>
          <cell r="L116" t="str">
            <v>BDO</v>
          </cell>
        </row>
        <row r="117">
          <cell r="F117">
            <v>9365404</v>
          </cell>
          <cell r="G117" t="str">
            <v>Individual</v>
          </cell>
          <cell r="H117" t="str">
            <v>-</v>
          </cell>
          <cell r="I117" t="str">
            <v>Glyn School</v>
          </cell>
          <cell r="J117" t="str">
            <v>Southern</v>
          </cell>
          <cell r="K117">
            <v>0</v>
          </cell>
          <cell r="L117" t="str">
            <v>BDO</v>
          </cell>
        </row>
        <row r="118">
          <cell r="F118">
            <v>8662212</v>
          </cell>
          <cell r="G118" t="str">
            <v>Individual</v>
          </cell>
          <cell r="H118" t="str">
            <v>-</v>
          </cell>
          <cell r="I118" t="str">
            <v>Goddard Park Community Primary School</v>
          </cell>
          <cell r="J118" t="str">
            <v>Western</v>
          </cell>
          <cell r="K118">
            <v>0</v>
          </cell>
          <cell r="L118" t="str">
            <v>BDO</v>
          </cell>
        </row>
        <row r="119">
          <cell r="F119">
            <v>8224000</v>
          </cell>
          <cell r="G119">
            <v>0</v>
          </cell>
          <cell r="H119" t="str">
            <v>-</v>
          </cell>
          <cell r="I119" t="str">
            <v>Goldington Academy</v>
          </cell>
          <cell r="J119" t="str">
            <v>Eastern</v>
          </cell>
          <cell r="K119">
            <v>0</v>
          </cell>
          <cell r="L119" t="str">
            <v>BDO</v>
          </cell>
        </row>
        <row r="120">
          <cell r="F120">
            <v>3096905</v>
          </cell>
          <cell r="G120" t="str">
            <v>Individual</v>
          </cell>
          <cell r="H120" t="str">
            <v>-</v>
          </cell>
          <cell r="I120" t="str">
            <v>Greig City Academy</v>
          </cell>
          <cell r="J120" t="str">
            <v>Southern</v>
          </cell>
          <cell r="K120">
            <v>0</v>
          </cell>
          <cell r="L120" t="str">
            <v>BDO</v>
          </cell>
        </row>
        <row r="121">
          <cell r="F121">
            <v>9284042</v>
          </cell>
          <cell r="G121">
            <v>0</v>
          </cell>
          <cell r="H121" t="str">
            <v>-</v>
          </cell>
          <cell r="I121" t="str">
            <v>Guilsborough School</v>
          </cell>
          <cell r="J121" t="str">
            <v>Eastern</v>
          </cell>
          <cell r="K121">
            <v>0</v>
          </cell>
          <cell r="L121" t="str">
            <v>BDO</v>
          </cell>
        </row>
        <row r="122">
          <cell r="F122">
            <v>3124654</v>
          </cell>
          <cell r="G122" t="str">
            <v>Individual</v>
          </cell>
          <cell r="H122" t="str">
            <v>-</v>
          </cell>
          <cell r="I122" t="str">
            <v>Guru Nanak Academy</v>
          </cell>
          <cell r="J122" t="str">
            <v>Southern</v>
          </cell>
          <cell r="K122">
            <v>0</v>
          </cell>
          <cell r="L122" t="str">
            <v>BDO</v>
          </cell>
        </row>
        <row r="123">
          <cell r="F123">
            <v>8882040</v>
          </cell>
          <cell r="G123" t="str">
            <v xml:space="preserve">Individual </v>
          </cell>
          <cell r="H123" t="str">
            <v>-</v>
          </cell>
          <cell r="I123" t="str">
            <v>Hambleton Primary School</v>
          </cell>
          <cell r="J123" t="str">
            <v>Northern</v>
          </cell>
          <cell r="K123">
            <v>0</v>
          </cell>
          <cell r="L123" t="str">
            <v>BDO</v>
          </cell>
        </row>
        <row r="124">
          <cell r="F124">
            <v>3306910</v>
          </cell>
          <cell r="G124" t="str">
            <v>Individual</v>
          </cell>
          <cell r="H124" t="str">
            <v>-</v>
          </cell>
          <cell r="I124" t="str">
            <v>Harborne Academy</v>
          </cell>
          <cell r="J124" t="str">
            <v>Western</v>
          </cell>
          <cell r="K124">
            <v>0</v>
          </cell>
          <cell r="L124" t="str">
            <v>BDO</v>
          </cell>
        </row>
        <row r="125">
          <cell r="F125">
            <v>8655414</v>
          </cell>
          <cell r="G125" t="str">
            <v>Individual</v>
          </cell>
          <cell r="H125" t="str">
            <v>-</v>
          </cell>
          <cell r="I125" t="str">
            <v>Hardenhuish School</v>
          </cell>
          <cell r="J125" t="str">
            <v>Western</v>
          </cell>
          <cell r="K125">
            <v>0</v>
          </cell>
          <cell r="L125" t="str">
            <v>BDO</v>
          </cell>
        </row>
        <row r="126">
          <cell r="F126">
            <v>3126906</v>
          </cell>
          <cell r="G126" t="str">
            <v>Individual</v>
          </cell>
          <cell r="H126" t="str">
            <v>-</v>
          </cell>
          <cell r="I126" t="str">
            <v>Harefield Academy</v>
          </cell>
          <cell r="J126" t="str">
            <v>Southern</v>
          </cell>
          <cell r="K126">
            <v>0</v>
          </cell>
          <cell r="L126" t="str">
            <v>BDO</v>
          </cell>
        </row>
        <row r="127">
          <cell r="F127">
            <v>8154200</v>
          </cell>
          <cell r="G127" t="str">
            <v xml:space="preserve">Individual </v>
          </cell>
          <cell r="H127" t="str">
            <v>-</v>
          </cell>
          <cell r="I127" t="str">
            <v>Harrogate Grammar School</v>
          </cell>
          <cell r="J127" t="str">
            <v>Northern</v>
          </cell>
          <cell r="K127">
            <v>0</v>
          </cell>
          <cell r="L127" t="str">
            <v>BDO</v>
          </cell>
        </row>
        <row r="128">
          <cell r="F128">
            <v>9354036</v>
          </cell>
          <cell r="G128">
            <v>0</v>
          </cell>
          <cell r="H128" t="str">
            <v>-</v>
          </cell>
          <cell r="I128" t="str">
            <v>Hartismere School</v>
          </cell>
          <cell r="J128" t="str">
            <v>Eastern</v>
          </cell>
          <cell r="K128">
            <v>0</v>
          </cell>
          <cell r="L128" t="str">
            <v>BDO</v>
          </cell>
        </row>
        <row r="129">
          <cell r="F129">
            <v>8506905</v>
          </cell>
          <cell r="G129" t="str">
            <v>Individual</v>
          </cell>
          <cell r="H129" t="str">
            <v>-</v>
          </cell>
          <cell r="I129" t="str">
            <v>Havant Academy</v>
          </cell>
          <cell r="J129" t="str">
            <v>Southern</v>
          </cell>
          <cell r="K129">
            <v>0</v>
          </cell>
          <cell r="L129" t="str">
            <v>BDO</v>
          </cell>
        </row>
        <row r="130">
          <cell r="F130">
            <v>8124084</v>
          </cell>
          <cell r="G130" t="str">
            <v xml:space="preserve">Individual </v>
          </cell>
          <cell r="H130" t="str">
            <v>-</v>
          </cell>
          <cell r="I130" t="str">
            <v>Healing School, A Science Academy</v>
          </cell>
          <cell r="J130" t="str">
            <v>Northern</v>
          </cell>
          <cell r="K130">
            <v>0</v>
          </cell>
          <cell r="L130" t="str">
            <v>BDO</v>
          </cell>
        </row>
        <row r="131">
          <cell r="F131">
            <v>3825401</v>
          </cell>
          <cell r="G131" t="str">
            <v xml:space="preserve">Individual </v>
          </cell>
          <cell r="H131" t="str">
            <v>-</v>
          </cell>
          <cell r="I131" t="str">
            <v>Heckmondwike Grammar School</v>
          </cell>
          <cell r="J131" t="str">
            <v>Northern</v>
          </cell>
          <cell r="K131">
            <v>0</v>
          </cell>
          <cell r="L131" t="str">
            <v>BDO</v>
          </cell>
        </row>
        <row r="132">
          <cell r="F132">
            <v>8865448</v>
          </cell>
          <cell r="G132" t="str">
            <v>Individual</v>
          </cell>
          <cell r="H132" t="str">
            <v>-</v>
          </cell>
          <cell r="I132" t="str">
            <v>Herne Bay High School</v>
          </cell>
          <cell r="J132" t="str">
            <v>Southern</v>
          </cell>
          <cell r="K132">
            <v>0</v>
          </cell>
          <cell r="L132" t="str">
            <v>BDO</v>
          </cell>
        </row>
        <row r="133">
          <cell r="F133">
            <v>9164002</v>
          </cell>
          <cell r="G133" t="str">
            <v>Individual</v>
          </cell>
          <cell r="H133" t="str">
            <v>-</v>
          </cell>
          <cell r="I133" t="str">
            <v>High School for Girls</v>
          </cell>
          <cell r="J133" t="str">
            <v>Western</v>
          </cell>
          <cell r="K133">
            <v>0</v>
          </cell>
          <cell r="L133" t="str">
            <v>BDO</v>
          </cell>
        </row>
        <row r="134">
          <cell r="F134">
            <v>8704020</v>
          </cell>
          <cell r="G134" t="str">
            <v>Individual</v>
          </cell>
          <cell r="H134" t="str">
            <v>-</v>
          </cell>
          <cell r="I134" t="str">
            <v xml:space="preserve">Highdown School and Sixth Form Centre   </v>
          </cell>
          <cell r="J134" t="str">
            <v>Southern</v>
          </cell>
          <cell r="K134">
            <v>0</v>
          </cell>
          <cell r="L134" t="str">
            <v>BDO</v>
          </cell>
        </row>
        <row r="135">
          <cell r="F135">
            <v>8864080</v>
          </cell>
          <cell r="G135" t="str">
            <v>Individual</v>
          </cell>
          <cell r="H135" t="str">
            <v>-</v>
          </cell>
          <cell r="I135" t="str">
            <v>Highsted Grammar School</v>
          </cell>
          <cell r="J135" t="str">
            <v>Southern</v>
          </cell>
          <cell r="K135">
            <v>0</v>
          </cell>
          <cell r="L135" t="str">
            <v>BDO</v>
          </cell>
        </row>
        <row r="136">
          <cell r="F136">
            <v>8864092</v>
          </cell>
          <cell r="G136" t="str">
            <v>Individual</v>
          </cell>
          <cell r="H136" t="str">
            <v>-</v>
          </cell>
          <cell r="I136" t="str">
            <v>Highworth Grammar School</v>
          </cell>
          <cell r="J136" t="str">
            <v>Southern</v>
          </cell>
          <cell r="K136">
            <v>0</v>
          </cell>
          <cell r="L136" t="str">
            <v>BDO</v>
          </cell>
        </row>
        <row r="137">
          <cell r="F137">
            <v>3202018</v>
          </cell>
          <cell r="G137" t="str">
            <v>Individual</v>
          </cell>
          <cell r="H137" t="str">
            <v>-</v>
          </cell>
          <cell r="I137" t="str">
            <v>Hillyfield Academy</v>
          </cell>
          <cell r="J137" t="str">
            <v>Southern</v>
          </cell>
          <cell r="K137">
            <v>0</v>
          </cell>
          <cell r="L137" t="str">
            <v>BDO</v>
          </cell>
        </row>
        <row r="138">
          <cell r="F138">
            <v>9195427</v>
          </cell>
          <cell r="G138">
            <v>0</v>
          </cell>
          <cell r="H138" t="str">
            <v>-</v>
          </cell>
          <cell r="I138" t="str">
            <v xml:space="preserve">Hockerill Anglo-European College </v>
          </cell>
          <cell r="J138" t="str">
            <v>Eastern</v>
          </cell>
          <cell r="K138">
            <v>0</v>
          </cell>
          <cell r="L138" t="str">
            <v>BDO</v>
          </cell>
        </row>
        <row r="139">
          <cell r="F139">
            <v>9334274</v>
          </cell>
          <cell r="G139" t="str">
            <v>Individual</v>
          </cell>
          <cell r="H139" t="str">
            <v>-</v>
          </cell>
          <cell r="I139" t="str">
            <v>Holyrood Community School</v>
          </cell>
          <cell r="J139" t="str">
            <v>Western</v>
          </cell>
          <cell r="K139">
            <v>0</v>
          </cell>
          <cell r="L139" t="str">
            <v>BDO</v>
          </cell>
        </row>
        <row r="140">
          <cell r="F140">
            <v>9334259</v>
          </cell>
          <cell r="G140" t="str">
            <v>Individual</v>
          </cell>
          <cell r="H140" t="str">
            <v>-</v>
          </cell>
          <cell r="I140" t="str">
            <v xml:space="preserve">Huish Episcopi School </v>
          </cell>
          <cell r="J140" t="str">
            <v>Western</v>
          </cell>
          <cell r="K140">
            <v>0</v>
          </cell>
          <cell r="L140" t="str">
            <v>BDO</v>
          </cell>
        </row>
        <row r="141">
          <cell r="F141">
            <v>8414221</v>
          </cell>
          <cell r="G141" t="str">
            <v xml:space="preserve">Individual </v>
          </cell>
          <cell r="H141" t="str">
            <v>-</v>
          </cell>
          <cell r="I141" t="str">
            <v>Hurworth School</v>
          </cell>
          <cell r="J141" t="str">
            <v>Northern</v>
          </cell>
          <cell r="K141">
            <v>0</v>
          </cell>
          <cell r="L141" t="str">
            <v>BDO</v>
          </cell>
        </row>
        <row r="142">
          <cell r="F142">
            <v>8606906</v>
          </cell>
          <cell r="G142" t="str">
            <v>Individual</v>
          </cell>
          <cell r="H142" t="str">
            <v>-</v>
          </cell>
          <cell r="I142" t="str">
            <v>JCB Academy</v>
          </cell>
          <cell r="J142" t="str">
            <v>Western</v>
          </cell>
          <cell r="K142">
            <v>0</v>
          </cell>
          <cell r="L142" t="str">
            <v>BDO</v>
          </cell>
        </row>
        <row r="143">
          <cell r="F143">
            <v>3344661</v>
          </cell>
          <cell r="G143" t="str">
            <v>Individual</v>
          </cell>
          <cell r="H143" t="str">
            <v>-</v>
          </cell>
          <cell r="I143" t="str">
            <v>John Henry Newman Catholic College</v>
          </cell>
          <cell r="J143" t="str">
            <v>Western</v>
          </cell>
          <cell r="K143">
            <v>0</v>
          </cell>
          <cell r="L143" t="str">
            <v>BDO</v>
          </cell>
        </row>
        <row r="144">
          <cell r="F144">
            <v>8844428</v>
          </cell>
          <cell r="G144" t="str">
            <v>Individual</v>
          </cell>
          <cell r="H144" t="str">
            <v>-</v>
          </cell>
          <cell r="I144" t="str">
            <v>John Kyrle High School and Sixth Form Centre</v>
          </cell>
          <cell r="J144" t="str">
            <v>Western</v>
          </cell>
          <cell r="K144">
            <v>0</v>
          </cell>
          <cell r="L144" t="str">
            <v>BDO</v>
          </cell>
        </row>
        <row r="145">
          <cell r="F145">
            <v>8706905</v>
          </cell>
          <cell r="G145" t="str">
            <v>Individual</v>
          </cell>
          <cell r="H145" t="str">
            <v>-</v>
          </cell>
          <cell r="I145" t="str">
            <v>John Madejski Academy</v>
          </cell>
          <cell r="J145" t="str">
            <v>Southern</v>
          </cell>
          <cell r="K145">
            <v>0</v>
          </cell>
          <cell r="L145" t="str">
            <v>BDO</v>
          </cell>
        </row>
        <row r="146">
          <cell r="F146">
            <v>8604061</v>
          </cell>
          <cell r="G146" t="str">
            <v>Individual</v>
          </cell>
          <cell r="H146" t="str">
            <v>-</v>
          </cell>
          <cell r="I146" t="str">
            <v xml:space="preserve">John Taylor High School   </v>
          </cell>
          <cell r="J146" t="str">
            <v>Western</v>
          </cell>
          <cell r="K146">
            <v>0</v>
          </cell>
          <cell r="L146" t="str">
            <v>BDO</v>
          </cell>
        </row>
        <row r="147">
          <cell r="F147">
            <v>3506907</v>
          </cell>
          <cell r="G147" t="str">
            <v xml:space="preserve">Individual </v>
          </cell>
          <cell r="H147" t="str">
            <v>-</v>
          </cell>
          <cell r="I147" t="str">
            <v>Kearsley Academy</v>
          </cell>
          <cell r="J147" t="str">
            <v>Northern</v>
          </cell>
          <cell r="K147">
            <v>0</v>
          </cell>
          <cell r="L147" t="str">
            <v>BDO</v>
          </cell>
        </row>
        <row r="148">
          <cell r="F148">
            <v>8705413</v>
          </cell>
          <cell r="G148" t="str">
            <v>Individual</v>
          </cell>
          <cell r="H148" t="str">
            <v>-</v>
          </cell>
          <cell r="I148" t="str">
            <v>Kendrick School</v>
          </cell>
          <cell r="J148" t="str">
            <v>Southern</v>
          </cell>
          <cell r="K148">
            <v>0</v>
          </cell>
          <cell r="L148" t="str">
            <v>BDO</v>
          </cell>
        </row>
        <row r="149">
          <cell r="F149">
            <v>8694042</v>
          </cell>
          <cell r="G149" t="str">
            <v>Individual</v>
          </cell>
          <cell r="H149" t="str">
            <v>-</v>
          </cell>
          <cell r="I149" t="str">
            <v>Kennet School</v>
          </cell>
          <cell r="J149" t="str">
            <v>Southern</v>
          </cell>
          <cell r="K149">
            <v>0</v>
          </cell>
          <cell r="L149" t="str">
            <v>BDO</v>
          </cell>
        </row>
        <row r="150">
          <cell r="F150">
            <v>9286909</v>
          </cell>
          <cell r="G150">
            <v>0</v>
          </cell>
          <cell r="H150" t="str">
            <v>-</v>
          </cell>
          <cell r="I150" t="str">
            <v>Kettering Science Academy</v>
          </cell>
          <cell r="J150" t="str">
            <v>Eastern</v>
          </cell>
          <cell r="K150">
            <v>0</v>
          </cell>
          <cell r="L150" t="str">
            <v>BDO</v>
          </cell>
        </row>
        <row r="151">
          <cell r="F151">
            <v>3306906</v>
          </cell>
          <cell r="G151" t="str">
            <v>Individual</v>
          </cell>
          <cell r="H151" t="str">
            <v>-</v>
          </cell>
          <cell r="I151" t="str">
            <v>King Edward VI Sheldon Heath Academy</v>
          </cell>
          <cell r="J151" t="str">
            <v>Western</v>
          </cell>
          <cell r="K151">
            <v>0</v>
          </cell>
          <cell r="L151" t="str">
            <v>BDO</v>
          </cell>
        </row>
        <row r="152">
          <cell r="F152">
            <v>8066906</v>
          </cell>
          <cell r="G152" t="str">
            <v>Individual</v>
          </cell>
          <cell r="H152" t="str">
            <v>-</v>
          </cell>
          <cell r="I152" t="str">
            <v>King's Academy</v>
          </cell>
          <cell r="J152" t="str">
            <v>Southern</v>
          </cell>
          <cell r="K152">
            <v>0</v>
          </cell>
          <cell r="L152" t="str">
            <v>BDO</v>
          </cell>
        </row>
        <row r="153">
          <cell r="F153">
            <v>9266909</v>
          </cell>
          <cell r="G153">
            <v>0</v>
          </cell>
          <cell r="H153" t="str">
            <v>-</v>
          </cell>
          <cell r="I153" t="str">
            <v>King's Lynn Academy</v>
          </cell>
          <cell r="J153" t="str">
            <v>Eastern</v>
          </cell>
          <cell r="K153">
            <v>0</v>
          </cell>
          <cell r="L153" t="str">
            <v>BDO</v>
          </cell>
        </row>
        <row r="154">
          <cell r="F154">
            <v>8784110</v>
          </cell>
          <cell r="G154" t="str">
            <v>Individual</v>
          </cell>
          <cell r="H154" t="str">
            <v>-</v>
          </cell>
          <cell r="I154" t="str">
            <v>Kingsbridge Community College</v>
          </cell>
          <cell r="J154" t="str">
            <v>Western</v>
          </cell>
          <cell r="K154">
            <v>0</v>
          </cell>
          <cell r="L154" t="str">
            <v>BDO</v>
          </cell>
        </row>
        <row r="155">
          <cell r="F155">
            <v>2104265</v>
          </cell>
          <cell r="G155" t="str">
            <v>Individual</v>
          </cell>
          <cell r="H155" t="str">
            <v>-</v>
          </cell>
          <cell r="I155" t="str">
            <v xml:space="preserve">Kingsdale Foundation School   </v>
          </cell>
          <cell r="J155" t="str">
            <v>Southern</v>
          </cell>
          <cell r="K155">
            <v>0</v>
          </cell>
          <cell r="L155" t="str">
            <v>BDO</v>
          </cell>
        </row>
        <row r="156">
          <cell r="F156">
            <v>3084015</v>
          </cell>
          <cell r="G156" t="str">
            <v>Individual</v>
          </cell>
          <cell r="H156" t="str">
            <v>-</v>
          </cell>
          <cell r="I156" t="str">
            <v>Kingsmead School</v>
          </cell>
          <cell r="J156" t="str">
            <v>Southern</v>
          </cell>
          <cell r="K156">
            <v>0</v>
          </cell>
          <cell r="L156" t="str">
            <v>BDO</v>
          </cell>
        </row>
        <row r="157">
          <cell r="F157">
            <v>8304169</v>
          </cell>
          <cell r="G157">
            <v>0</v>
          </cell>
          <cell r="H157" t="str">
            <v>-</v>
          </cell>
          <cell r="I157" t="str">
            <v>Kirk Hallam Community Technology &amp; Sports College</v>
          </cell>
          <cell r="J157" t="str">
            <v>Eastern</v>
          </cell>
          <cell r="K157">
            <v>0</v>
          </cell>
          <cell r="L157" t="str">
            <v>BDO</v>
          </cell>
        </row>
        <row r="158">
          <cell r="F158">
            <v>9095400</v>
          </cell>
          <cell r="G158" t="str">
            <v xml:space="preserve">Individual </v>
          </cell>
          <cell r="H158" t="str">
            <v>-</v>
          </cell>
          <cell r="I158" t="str">
            <v>Kirkbie Kendal School</v>
          </cell>
          <cell r="J158" t="str">
            <v>Northern</v>
          </cell>
          <cell r="K158">
            <v>0</v>
          </cell>
          <cell r="L158" t="str">
            <v>BDO</v>
          </cell>
        </row>
        <row r="159">
          <cell r="F159">
            <v>8866905</v>
          </cell>
          <cell r="G159" t="str">
            <v>Individual</v>
          </cell>
          <cell r="H159" t="str">
            <v>-</v>
          </cell>
          <cell r="I159" t="str">
            <v>Knole Academy</v>
          </cell>
          <cell r="J159" t="str">
            <v>Southern</v>
          </cell>
          <cell r="K159">
            <v>0</v>
          </cell>
          <cell r="L159" t="str">
            <v>BDO</v>
          </cell>
        </row>
        <row r="160">
          <cell r="F160">
            <v>3134027</v>
          </cell>
          <cell r="G160" t="str">
            <v>Individual</v>
          </cell>
          <cell r="H160" t="str">
            <v>-</v>
          </cell>
          <cell r="I160" t="str">
            <v>Lampton School</v>
          </cell>
          <cell r="J160" t="str">
            <v>Southern</v>
          </cell>
          <cell r="K160">
            <v>0</v>
          </cell>
          <cell r="L160" t="str">
            <v>BDO</v>
          </cell>
        </row>
        <row r="161">
          <cell r="F161">
            <v>8885402</v>
          </cell>
          <cell r="G161" t="str">
            <v xml:space="preserve">Individual </v>
          </cell>
          <cell r="H161" t="str">
            <v>-</v>
          </cell>
          <cell r="I161" t="str">
            <v>Lancaster Girls' Grammar School</v>
          </cell>
          <cell r="J161" t="str">
            <v>Northern</v>
          </cell>
          <cell r="K161">
            <v>0</v>
          </cell>
          <cell r="L161" t="str">
            <v>BDO</v>
          </cell>
        </row>
        <row r="162">
          <cell r="F162">
            <v>8885401</v>
          </cell>
          <cell r="G162" t="str">
            <v xml:space="preserve">Individual </v>
          </cell>
          <cell r="H162" t="str">
            <v>-</v>
          </cell>
          <cell r="I162" t="str">
            <v>Lancaster Royal Grammar School</v>
          </cell>
          <cell r="J162" t="str">
            <v>Northern</v>
          </cell>
          <cell r="K162">
            <v>0</v>
          </cell>
          <cell r="L162" t="str">
            <v>BDO</v>
          </cell>
        </row>
        <row r="163">
          <cell r="F163">
            <v>8716905</v>
          </cell>
          <cell r="G163" t="str">
            <v>Individual</v>
          </cell>
          <cell r="H163" t="str">
            <v>-</v>
          </cell>
          <cell r="I163" t="str">
            <v>Langley Academy</v>
          </cell>
          <cell r="J163" t="str">
            <v>Southern</v>
          </cell>
          <cell r="K163">
            <v>0</v>
          </cell>
          <cell r="L163" t="str">
            <v>BDO</v>
          </cell>
        </row>
        <row r="164">
          <cell r="F164">
            <v>8715405</v>
          </cell>
          <cell r="G164" t="str">
            <v>Individual</v>
          </cell>
          <cell r="H164" t="str">
            <v>-</v>
          </cell>
          <cell r="I164" t="str">
            <v>Langley Grammar School</v>
          </cell>
          <cell r="J164" t="str">
            <v>Southern</v>
          </cell>
          <cell r="K164">
            <v>0</v>
          </cell>
          <cell r="L164" t="str">
            <v>BDO</v>
          </cell>
        </row>
        <row r="165">
          <cell r="F165">
            <v>8232217</v>
          </cell>
          <cell r="G165">
            <v>0</v>
          </cell>
          <cell r="H165" t="str">
            <v>-</v>
          </cell>
          <cell r="I165" t="str">
            <v>Lark Rise Academy</v>
          </cell>
          <cell r="J165" t="str">
            <v>Eastern</v>
          </cell>
          <cell r="K165">
            <v>0</v>
          </cell>
          <cell r="L165" t="str">
            <v>BDO</v>
          </cell>
        </row>
        <row r="166">
          <cell r="F166">
            <v>8655402</v>
          </cell>
          <cell r="G166" t="str">
            <v>Individual</v>
          </cell>
          <cell r="H166" t="str">
            <v>-</v>
          </cell>
          <cell r="I166" t="str">
            <v>Lavington School</v>
          </cell>
          <cell r="J166" t="str">
            <v>Western</v>
          </cell>
          <cell r="K166">
            <v>0</v>
          </cell>
          <cell r="L166" t="str">
            <v>BDO</v>
          </cell>
        </row>
        <row r="167">
          <cell r="F167">
            <v>3502018</v>
          </cell>
          <cell r="G167" t="str">
            <v xml:space="preserve">Individual </v>
          </cell>
          <cell r="H167" t="str">
            <v>-</v>
          </cell>
          <cell r="I167" t="str">
            <v>Lever Edge Primary School</v>
          </cell>
          <cell r="J167" t="str">
            <v>Northern</v>
          </cell>
          <cell r="K167">
            <v>0</v>
          </cell>
          <cell r="L167" t="str">
            <v>BDO</v>
          </cell>
        </row>
        <row r="168">
          <cell r="F168">
            <v>8732072</v>
          </cell>
          <cell r="G168">
            <v>0</v>
          </cell>
          <cell r="H168" t="str">
            <v>-</v>
          </cell>
          <cell r="I168" t="str">
            <v>Leverington Primary Academy</v>
          </cell>
          <cell r="J168" t="str">
            <v>Eastern</v>
          </cell>
          <cell r="K168">
            <v>0</v>
          </cell>
          <cell r="L168" t="str">
            <v>BDO</v>
          </cell>
        </row>
        <row r="169">
          <cell r="F169">
            <v>8735416</v>
          </cell>
          <cell r="G169">
            <v>0</v>
          </cell>
          <cell r="H169" t="str">
            <v>-</v>
          </cell>
          <cell r="I169" t="str">
            <v>Linton Village College</v>
          </cell>
          <cell r="J169" t="str">
            <v>Eastern</v>
          </cell>
          <cell r="K169">
            <v>0</v>
          </cell>
          <cell r="L169" t="str">
            <v>BDO</v>
          </cell>
        </row>
        <row r="170">
          <cell r="F170">
            <v>3026905</v>
          </cell>
          <cell r="G170" t="str">
            <v>Individual</v>
          </cell>
          <cell r="H170" t="str">
            <v>-</v>
          </cell>
          <cell r="I170" t="str">
            <v>London Academy</v>
          </cell>
          <cell r="J170" t="str">
            <v>Southern</v>
          </cell>
          <cell r="K170">
            <v>0</v>
          </cell>
          <cell r="L170" t="str">
            <v>BDO</v>
          </cell>
        </row>
        <row r="171">
          <cell r="F171">
            <v>8682186</v>
          </cell>
          <cell r="G171" t="str">
            <v>Individual</v>
          </cell>
          <cell r="H171" t="str">
            <v>-</v>
          </cell>
          <cell r="I171" t="str">
            <v>Lowbrook Primary School</v>
          </cell>
          <cell r="J171" t="str">
            <v>Southern</v>
          </cell>
          <cell r="K171">
            <v>0</v>
          </cell>
          <cell r="L171" t="str">
            <v>BDO</v>
          </cell>
        </row>
        <row r="172">
          <cell r="F172">
            <v>8066907</v>
          </cell>
          <cell r="G172" t="str">
            <v xml:space="preserve">Individual </v>
          </cell>
          <cell r="H172" t="str">
            <v>-</v>
          </cell>
          <cell r="I172" t="str">
            <v>Macmillan Academy</v>
          </cell>
          <cell r="J172" t="str">
            <v>Northern</v>
          </cell>
          <cell r="K172">
            <v>0</v>
          </cell>
          <cell r="L172" t="str">
            <v>BDO</v>
          </cell>
        </row>
        <row r="173">
          <cell r="F173">
            <v>8946905</v>
          </cell>
          <cell r="G173" t="str">
            <v>Individual</v>
          </cell>
          <cell r="H173" t="str">
            <v>-</v>
          </cell>
          <cell r="I173" t="str">
            <v>Madeley Academy</v>
          </cell>
          <cell r="J173" t="str">
            <v>Western</v>
          </cell>
          <cell r="K173">
            <v>0</v>
          </cell>
          <cell r="L173" t="str">
            <v>BDO</v>
          </cell>
        </row>
        <row r="174">
          <cell r="F174">
            <v>8724053</v>
          </cell>
          <cell r="G174" t="str">
            <v>Individual</v>
          </cell>
          <cell r="H174" t="str">
            <v>-</v>
          </cell>
          <cell r="I174" t="str">
            <v>Maiden Erlegh School</v>
          </cell>
          <cell r="J174" t="str">
            <v>Southern</v>
          </cell>
          <cell r="K174">
            <v>0</v>
          </cell>
          <cell r="L174" t="str">
            <v>BDO</v>
          </cell>
        </row>
        <row r="175">
          <cell r="F175">
            <v>3726905</v>
          </cell>
          <cell r="G175" t="str">
            <v xml:space="preserve">Individual </v>
          </cell>
          <cell r="H175" t="str">
            <v>-</v>
          </cell>
          <cell r="I175" t="str">
            <v>Maltby Academy</v>
          </cell>
          <cell r="J175" t="str">
            <v>Northern</v>
          </cell>
          <cell r="K175">
            <v>0</v>
          </cell>
          <cell r="L175" t="str">
            <v>BDO</v>
          </cell>
        </row>
        <row r="176">
          <cell r="F176">
            <v>3526913</v>
          </cell>
          <cell r="G176" t="str">
            <v xml:space="preserve">Individual </v>
          </cell>
          <cell r="H176" t="str">
            <v>-</v>
          </cell>
          <cell r="I176" t="str">
            <v>Manchester Communications Academy</v>
          </cell>
          <cell r="J176" t="str">
            <v>Northern</v>
          </cell>
          <cell r="K176">
            <v>0</v>
          </cell>
          <cell r="L176" t="str">
            <v>BDO</v>
          </cell>
        </row>
        <row r="177">
          <cell r="F177">
            <v>3526908</v>
          </cell>
          <cell r="G177" t="str">
            <v xml:space="preserve">Individual </v>
          </cell>
          <cell r="H177" t="str">
            <v>-</v>
          </cell>
          <cell r="I177" t="str">
            <v>Manchester Enterprise Academy</v>
          </cell>
          <cell r="J177" t="str">
            <v>Northern</v>
          </cell>
          <cell r="K177">
            <v>0</v>
          </cell>
          <cell r="L177" t="str">
            <v>BDO</v>
          </cell>
        </row>
        <row r="178">
          <cell r="F178">
            <v>3526909</v>
          </cell>
          <cell r="G178" t="str">
            <v xml:space="preserve">Individual </v>
          </cell>
          <cell r="H178" t="str">
            <v>-</v>
          </cell>
          <cell r="I178" t="str">
            <v>Manchester Health Academy</v>
          </cell>
          <cell r="J178" t="str">
            <v>Northern</v>
          </cell>
          <cell r="K178">
            <v>0</v>
          </cell>
          <cell r="L178" t="str">
            <v>BDO</v>
          </cell>
        </row>
        <row r="179">
          <cell r="F179">
            <v>8796906</v>
          </cell>
          <cell r="G179" t="str">
            <v>Individual</v>
          </cell>
          <cell r="H179" t="str">
            <v>-</v>
          </cell>
          <cell r="I179" t="str">
            <v>Marine Academy Plymouth</v>
          </cell>
          <cell r="J179" t="str">
            <v>Western</v>
          </cell>
          <cell r="K179">
            <v>0</v>
          </cell>
          <cell r="L179" t="str">
            <v>BDO</v>
          </cell>
        </row>
        <row r="180">
          <cell r="F180">
            <v>8866906</v>
          </cell>
          <cell r="G180" t="str">
            <v>Individual</v>
          </cell>
          <cell r="H180" t="str">
            <v>-</v>
          </cell>
          <cell r="I180" t="str">
            <v>Marlowe Academy</v>
          </cell>
          <cell r="J180" t="str">
            <v>Southern</v>
          </cell>
          <cell r="K180">
            <v>0</v>
          </cell>
          <cell r="L180" t="str">
            <v>BDO</v>
          </cell>
        </row>
        <row r="181">
          <cell r="F181">
            <v>8866909</v>
          </cell>
          <cell r="G181" t="str">
            <v>Individual</v>
          </cell>
          <cell r="H181" t="str">
            <v>-</v>
          </cell>
          <cell r="I181" t="str">
            <v>Marsh Academy</v>
          </cell>
          <cell r="J181" t="str">
            <v>Southern</v>
          </cell>
          <cell r="K181">
            <v>0</v>
          </cell>
          <cell r="L181" t="str">
            <v>BDO</v>
          </cell>
        </row>
        <row r="182">
          <cell r="F182">
            <v>9262006</v>
          </cell>
          <cell r="G182">
            <v>0</v>
          </cell>
          <cell r="H182" t="str">
            <v>-</v>
          </cell>
          <cell r="I182" t="str">
            <v xml:space="preserve">Martham Foundation Primary School and Nursery  </v>
          </cell>
          <cell r="J182" t="str">
            <v>Eastern</v>
          </cell>
          <cell r="K182">
            <v>0</v>
          </cell>
          <cell r="L182" t="str">
            <v>BDO</v>
          </cell>
        </row>
        <row r="183">
          <cell r="F183">
            <v>8862656</v>
          </cell>
          <cell r="G183" t="str">
            <v>Individual</v>
          </cell>
          <cell r="H183" t="str">
            <v>-</v>
          </cell>
          <cell r="I183" t="str">
            <v xml:space="preserve">Meopham Community Primary School </v>
          </cell>
          <cell r="J183" t="str">
            <v>Southern</v>
          </cell>
          <cell r="K183">
            <v>0</v>
          </cell>
          <cell r="L183" t="str">
            <v>BDO</v>
          </cell>
        </row>
        <row r="184">
          <cell r="F184">
            <v>8016910</v>
          </cell>
          <cell r="G184" t="str">
            <v>Individual</v>
          </cell>
          <cell r="H184" t="str">
            <v>-</v>
          </cell>
          <cell r="I184" t="str">
            <v>Merchants' Academy</v>
          </cell>
          <cell r="J184" t="str">
            <v>Western</v>
          </cell>
          <cell r="K184">
            <v>0</v>
          </cell>
          <cell r="L184" t="str">
            <v>BDO</v>
          </cell>
        </row>
        <row r="185">
          <cell r="F185">
            <v>3834101</v>
          </cell>
          <cell r="G185" t="str">
            <v xml:space="preserve">Individual </v>
          </cell>
          <cell r="H185" t="str">
            <v>-</v>
          </cell>
          <cell r="I185" t="str">
            <v>Morley Academy</v>
          </cell>
          <cell r="J185" t="str">
            <v>Northern</v>
          </cell>
          <cell r="K185">
            <v>0</v>
          </cell>
          <cell r="L185" t="str">
            <v>BDO</v>
          </cell>
        </row>
        <row r="186">
          <cell r="F186">
            <v>2046905</v>
          </cell>
          <cell r="G186" t="str">
            <v>Individual</v>
          </cell>
          <cell r="H186" t="str">
            <v>-</v>
          </cell>
          <cell r="I186" t="str">
            <v>Mossbourne Community Academy</v>
          </cell>
          <cell r="J186" t="str">
            <v>Southern</v>
          </cell>
          <cell r="K186">
            <v>0</v>
          </cell>
          <cell r="L186" t="str">
            <v>BDO</v>
          </cell>
        </row>
        <row r="187">
          <cell r="F187">
            <v>3576905</v>
          </cell>
          <cell r="G187" t="str">
            <v xml:space="preserve">Individual </v>
          </cell>
          <cell r="H187" t="str">
            <v>-</v>
          </cell>
          <cell r="I187" t="str">
            <v>New Charter Academy</v>
          </cell>
          <cell r="J187" t="str">
            <v>Northern</v>
          </cell>
          <cell r="K187">
            <v>0</v>
          </cell>
          <cell r="L187" t="str">
            <v>BDO</v>
          </cell>
        </row>
        <row r="188">
          <cell r="F188">
            <v>8944364</v>
          </cell>
          <cell r="G188" t="str">
            <v>Individual</v>
          </cell>
          <cell r="H188" t="str">
            <v>-</v>
          </cell>
          <cell r="I188" t="str">
            <v>Newport Girls' High School Academy Trust</v>
          </cell>
          <cell r="J188" t="str">
            <v>Western</v>
          </cell>
          <cell r="K188">
            <v>0</v>
          </cell>
          <cell r="L188" t="str">
            <v>BDO</v>
          </cell>
        </row>
        <row r="189">
          <cell r="F189">
            <v>9082406</v>
          </cell>
          <cell r="G189" t="str">
            <v>Individual</v>
          </cell>
          <cell r="H189" t="str">
            <v>-</v>
          </cell>
          <cell r="I189" t="str">
            <v>Newquay Junior School</v>
          </cell>
          <cell r="J189" t="str">
            <v>Western</v>
          </cell>
          <cell r="K189">
            <v>0</v>
          </cell>
          <cell r="L189" t="str">
            <v>BDO</v>
          </cell>
        </row>
        <row r="190">
          <cell r="F190">
            <v>9282214</v>
          </cell>
          <cell r="G190">
            <v>0</v>
          </cell>
          <cell r="H190" t="str">
            <v>-</v>
          </cell>
          <cell r="I190" t="str">
            <v>Nicholas Hawksmoor Primary School</v>
          </cell>
          <cell r="J190" t="str">
            <v>Eastern</v>
          </cell>
          <cell r="K190">
            <v>0</v>
          </cell>
          <cell r="L190" t="str">
            <v>BDO</v>
          </cell>
        </row>
        <row r="191">
          <cell r="F191">
            <v>3305411</v>
          </cell>
          <cell r="G191" t="str">
            <v>Individual</v>
          </cell>
          <cell r="H191" t="str">
            <v>-</v>
          </cell>
          <cell r="I191" t="str">
            <v xml:space="preserve">Ninestiles School </v>
          </cell>
          <cell r="J191" t="str">
            <v>Western</v>
          </cell>
          <cell r="K191">
            <v>0</v>
          </cell>
          <cell r="L191" t="str">
            <v>BDO</v>
          </cell>
        </row>
        <row r="192">
          <cell r="F192">
            <v>8404000</v>
          </cell>
          <cell r="G192" t="str">
            <v xml:space="preserve">Individual </v>
          </cell>
          <cell r="H192" t="str">
            <v>-</v>
          </cell>
          <cell r="I192" t="str">
            <v>North Durham Academy (The)</v>
          </cell>
          <cell r="J192" t="str">
            <v>Northern</v>
          </cell>
          <cell r="K192">
            <v>0</v>
          </cell>
          <cell r="L192" t="str">
            <v>BDO</v>
          </cell>
        </row>
        <row r="193">
          <cell r="F193">
            <v>3416906</v>
          </cell>
          <cell r="G193" t="str">
            <v xml:space="preserve">Individual </v>
          </cell>
          <cell r="H193" t="str">
            <v>-</v>
          </cell>
          <cell r="I193" t="str">
            <v>North Liverpool Academy</v>
          </cell>
          <cell r="J193" t="str">
            <v>Northern</v>
          </cell>
          <cell r="K193">
            <v>0</v>
          </cell>
          <cell r="L193" t="str">
            <v>BDO</v>
          </cell>
        </row>
        <row r="194">
          <cell r="F194">
            <v>8086906</v>
          </cell>
          <cell r="G194" t="str">
            <v xml:space="preserve">Individual </v>
          </cell>
          <cell r="H194" t="str">
            <v>-</v>
          </cell>
          <cell r="I194" t="str">
            <v>North Shore Health Academy</v>
          </cell>
          <cell r="J194" t="str">
            <v>Northern</v>
          </cell>
          <cell r="K194">
            <v>0</v>
          </cell>
          <cell r="L194" t="str">
            <v>BDO</v>
          </cell>
        </row>
        <row r="195">
          <cell r="F195">
            <v>9285404</v>
          </cell>
          <cell r="G195">
            <v>0</v>
          </cell>
          <cell r="H195" t="str">
            <v>-</v>
          </cell>
          <cell r="I195" t="str">
            <v>Northampton School for Boys</v>
          </cell>
          <cell r="J195" t="str">
            <v>Eastern</v>
          </cell>
          <cell r="K195">
            <v>0</v>
          </cell>
          <cell r="L195" t="str">
            <v>BDO</v>
          </cell>
        </row>
        <row r="196">
          <cell r="F196">
            <v>9296906</v>
          </cell>
          <cell r="G196" t="str">
            <v xml:space="preserve">Individual </v>
          </cell>
          <cell r="H196" t="str">
            <v>-</v>
          </cell>
          <cell r="I196" t="str">
            <v>Northumberland Church of England Academy</v>
          </cell>
          <cell r="J196" t="str">
            <v>Northern</v>
          </cell>
          <cell r="K196">
            <v>0</v>
          </cell>
          <cell r="L196" t="str">
            <v>BDO</v>
          </cell>
        </row>
        <row r="197">
          <cell r="F197">
            <v>8926906</v>
          </cell>
          <cell r="G197">
            <v>0</v>
          </cell>
          <cell r="H197" t="str">
            <v>-</v>
          </cell>
          <cell r="I197" t="str">
            <v>Nottingham University Samworth Academy</v>
          </cell>
          <cell r="J197" t="str">
            <v>Eastern</v>
          </cell>
          <cell r="K197">
            <v>0</v>
          </cell>
          <cell r="L197" t="str">
            <v>BDO</v>
          </cell>
        </row>
        <row r="198">
          <cell r="F198">
            <v>8264703</v>
          </cell>
          <cell r="G198" t="str">
            <v>Individual</v>
          </cell>
          <cell r="H198" t="str">
            <v>-</v>
          </cell>
          <cell r="I198" t="str">
            <v>Oakgrove School</v>
          </cell>
          <cell r="J198" t="str">
            <v>Southern</v>
          </cell>
          <cell r="K198">
            <v>0</v>
          </cell>
          <cell r="L198" t="str">
            <v>BDO</v>
          </cell>
        </row>
        <row r="199">
          <cell r="F199">
            <v>8005401</v>
          </cell>
          <cell r="G199" t="str">
            <v>Individual</v>
          </cell>
          <cell r="H199" t="str">
            <v>-</v>
          </cell>
          <cell r="I199" t="str">
            <v>Oldfield School</v>
          </cell>
          <cell r="J199" t="str">
            <v>Western</v>
          </cell>
          <cell r="K199">
            <v>0</v>
          </cell>
          <cell r="L199" t="str">
            <v>BDO</v>
          </cell>
        </row>
        <row r="200">
          <cell r="F200">
            <v>9266905</v>
          </cell>
          <cell r="G200">
            <v>0</v>
          </cell>
          <cell r="H200" t="str">
            <v>-</v>
          </cell>
          <cell r="I200" t="str">
            <v>Open Academy</v>
          </cell>
          <cell r="J200" t="str">
            <v>Eastern</v>
          </cell>
          <cell r="K200">
            <v>0</v>
          </cell>
          <cell r="L200" t="str">
            <v>BDO</v>
          </cell>
        </row>
        <row r="201">
          <cell r="F201">
            <v>8792693</v>
          </cell>
          <cell r="G201" t="str">
            <v>Individual</v>
          </cell>
          <cell r="H201" t="str">
            <v>-</v>
          </cell>
          <cell r="I201" t="str">
            <v>Oreston Community Primary and Nursery Trust</v>
          </cell>
          <cell r="J201" t="str">
            <v>Western</v>
          </cell>
          <cell r="K201">
            <v>0</v>
          </cell>
          <cell r="L201" t="str">
            <v>BDO</v>
          </cell>
        </row>
        <row r="202">
          <cell r="F202">
            <v>8836905</v>
          </cell>
          <cell r="G202" t="str">
            <v>Individual</v>
          </cell>
          <cell r="H202" t="str">
            <v>-</v>
          </cell>
          <cell r="I202" t="str">
            <v>Ormiston - The Gateway Academy (Not Hard Fed)</v>
          </cell>
          <cell r="J202" t="str">
            <v>Western</v>
          </cell>
          <cell r="K202">
            <v>0</v>
          </cell>
          <cell r="L202" t="str">
            <v>BDO</v>
          </cell>
        </row>
        <row r="203">
          <cell r="F203">
            <v>3356906</v>
          </cell>
          <cell r="G203" t="str">
            <v>Individual</v>
          </cell>
          <cell r="H203" t="str">
            <v>-</v>
          </cell>
          <cell r="I203" t="str">
            <v>Ormiston Shelfield Community Academy (Not Hard Fed)</v>
          </cell>
          <cell r="J203" t="str">
            <v>Western</v>
          </cell>
          <cell r="K203">
            <v>0</v>
          </cell>
          <cell r="L203" t="str">
            <v>BDO</v>
          </cell>
        </row>
        <row r="204">
          <cell r="F204">
            <v>3844023</v>
          </cell>
          <cell r="G204" t="str">
            <v xml:space="preserve">Individual </v>
          </cell>
          <cell r="H204" t="str">
            <v>-</v>
          </cell>
          <cell r="I204" t="str">
            <v>Ossett Academy</v>
          </cell>
          <cell r="J204" t="str">
            <v>Northern</v>
          </cell>
          <cell r="K204">
            <v>0</v>
          </cell>
          <cell r="L204" t="str">
            <v>BDO</v>
          </cell>
        </row>
        <row r="205">
          <cell r="F205">
            <v>3346906</v>
          </cell>
          <cell r="G205" t="str">
            <v>Individual</v>
          </cell>
          <cell r="H205" t="str">
            <v>-</v>
          </cell>
          <cell r="I205" t="str">
            <v>Park Hall Academy</v>
          </cell>
          <cell r="J205" t="str">
            <v>Western</v>
          </cell>
          <cell r="K205">
            <v>0</v>
          </cell>
          <cell r="L205" t="str">
            <v>BDO</v>
          </cell>
        </row>
        <row r="206">
          <cell r="F206">
            <v>3355200</v>
          </cell>
          <cell r="G206" t="str">
            <v>Individual</v>
          </cell>
          <cell r="H206" t="str">
            <v>-</v>
          </cell>
          <cell r="I206" t="str">
            <v>Park Hall Infant Academy</v>
          </cell>
          <cell r="J206" t="str">
            <v>Western</v>
          </cell>
          <cell r="K206">
            <v>0</v>
          </cell>
          <cell r="L206" t="str">
            <v>BDO</v>
          </cell>
        </row>
        <row r="207">
          <cell r="F207">
            <v>3582005</v>
          </cell>
          <cell r="G207" t="str">
            <v xml:space="preserve">Individual </v>
          </cell>
          <cell r="H207" t="str">
            <v>-</v>
          </cell>
          <cell r="I207" t="str">
            <v>Park Road Primary School</v>
          </cell>
          <cell r="J207" t="str">
            <v>Northern</v>
          </cell>
          <cell r="K207">
            <v>0</v>
          </cell>
          <cell r="L207" t="str">
            <v>BDO</v>
          </cell>
        </row>
        <row r="208">
          <cell r="F208">
            <v>8365403</v>
          </cell>
          <cell r="G208" t="str">
            <v>Individual</v>
          </cell>
          <cell r="H208" t="str">
            <v>-</v>
          </cell>
          <cell r="I208" t="str">
            <v>Parkstone Grammar School</v>
          </cell>
          <cell r="J208" t="str">
            <v>Western</v>
          </cell>
          <cell r="K208">
            <v>0</v>
          </cell>
          <cell r="L208" t="str">
            <v>BDO</v>
          </cell>
        </row>
        <row r="209">
          <cell r="F209">
            <v>9165403</v>
          </cell>
          <cell r="G209" t="str">
            <v>Individual</v>
          </cell>
          <cell r="H209" t="str">
            <v>-</v>
          </cell>
          <cell r="I209" t="str">
            <v xml:space="preserve">Pate's Grammar School </v>
          </cell>
          <cell r="J209" t="str">
            <v>Western</v>
          </cell>
          <cell r="K209">
            <v>0</v>
          </cell>
          <cell r="L209" t="str">
            <v>BDO</v>
          </cell>
        </row>
        <row r="210">
          <cell r="F210">
            <v>2136908</v>
          </cell>
          <cell r="G210" t="str">
            <v>Individual</v>
          </cell>
          <cell r="H210" t="str">
            <v>-</v>
          </cell>
          <cell r="I210" t="str">
            <v>Pimlico Academy</v>
          </cell>
          <cell r="J210" t="str">
            <v>Southern</v>
          </cell>
          <cell r="K210">
            <v>0</v>
          </cell>
          <cell r="L210" t="str">
            <v>BDO</v>
          </cell>
        </row>
        <row r="211">
          <cell r="F211">
            <v>9084163</v>
          </cell>
          <cell r="G211" t="str">
            <v>Individual</v>
          </cell>
          <cell r="H211" t="str">
            <v>-</v>
          </cell>
          <cell r="I211" t="str">
            <v>Pool Academy</v>
          </cell>
          <cell r="J211" t="str">
            <v>Western</v>
          </cell>
          <cell r="K211">
            <v>0</v>
          </cell>
          <cell r="L211" t="str">
            <v>BDO</v>
          </cell>
        </row>
        <row r="212">
          <cell r="F212">
            <v>8855403</v>
          </cell>
          <cell r="G212" t="str">
            <v>Individual</v>
          </cell>
          <cell r="H212" t="str">
            <v>-</v>
          </cell>
          <cell r="I212" t="str">
            <v>Prince Henry's High school</v>
          </cell>
          <cell r="J212" t="str">
            <v>Western</v>
          </cell>
          <cell r="K212">
            <v>0</v>
          </cell>
          <cell r="L212" t="str">
            <v>BDO</v>
          </cell>
        </row>
        <row r="213">
          <cell r="F213">
            <v>8942181</v>
          </cell>
          <cell r="G213" t="str">
            <v>Individual</v>
          </cell>
          <cell r="H213" t="str">
            <v>-</v>
          </cell>
          <cell r="I213" t="str">
            <v>Priorslee Primary School</v>
          </cell>
          <cell r="J213" t="str">
            <v>Western</v>
          </cell>
          <cell r="K213">
            <v>0</v>
          </cell>
          <cell r="L213" t="str">
            <v>BDO</v>
          </cell>
        </row>
        <row r="214">
          <cell r="F214">
            <v>3336908</v>
          </cell>
          <cell r="G214" t="str">
            <v>Individual</v>
          </cell>
          <cell r="H214" t="str">
            <v>-</v>
          </cell>
          <cell r="I214" t="str">
            <v>Q3 Academy</v>
          </cell>
          <cell r="J214" t="str">
            <v>Western</v>
          </cell>
          <cell r="K214">
            <v>0</v>
          </cell>
          <cell r="L214" t="str">
            <v>BDO</v>
          </cell>
        </row>
        <row r="215">
          <cell r="F215">
            <v>9095411</v>
          </cell>
          <cell r="G215" t="str">
            <v xml:space="preserve">Individual </v>
          </cell>
          <cell r="H215" t="str">
            <v>-</v>
          </cell>
          <cell r="I215" t="str">
            <v>Queen Elizabeth School</v>
          </cell>
          <cell r="J215" t="str">
            <v>Northern</v>
          </cell>
          <cell r="K215">
            <v>0</v>
          </cell>
          <cell r="L215" t="str">
            <v>BDO</v>
          </cell>
        </row>
        <row r="216">
          <cell r="F216">
            <v>9255401</v>
          </cell>
          <cell r="G216">
            <v>0</v>
          </cell>
          <cell r="H216" t="str">
            <v>-</v>
          </cell>
          <cell r="I216" t="str">
            <v>Queen Elizabeth’s Grammar, Alford – A Selective Academy</v>
          </cell>
          <cell r="J216" t="str">
            <v>Eastern</v>
          </cell>
          <cell r="K216">
            <v>0</v>
          </cell>
          <cell r="L216" t="str">
            <v>BDO</v>
          </cell>
        </row>
        <row r="217">
          <cell r="F217">
            <v>3025401</v>
          </cell>
          <cell r="G217" t="str">
            <v>Individual</v>
          </cell>
          <cell r="H217" t="str">
            <v>-</v>
          </cell>
          <cell r="I217" t="str">
            <v>Queen Elizabeth's School, Barnet</v>
          </cell>
          <cell r="J217" t="str">
            <v>Southern</v>
          </cell>
          <cell r="K217">
            <v>0</v>
          </cell>
          <cell r="L217" t="str">
            <v>BDO</v>
          </cell>
        </row>
        <row r="218">
          <cell r="F218">
            <v>3125403</v>
          </cell>
          <cell r="G218" t="str">
            <v>Individual</v>
          </cell>
          <cell r="H218" t="str">
            <v>-</v>
          </cell>
          <cell r="I218" t="str">
            <v>Queensmead School</v>
          </cell>
          <cell r="J218" t="str">
            <v>Southern</v>
          </cell>
          <cell r="K218">
            <v>0</v>
          </cell>
          <cell r="L218" t="str">
            <v>BDO</v>
          </cell>
        </row>
        <row r="219">
          <cell r="F219">
            <v>8705401</v>
          </cell>
          <cell r="G219" t="str">
            <v>Individual</v>
          </cell>
          <cell r="H219" t="str">
            <v>-</v>
          </cell>
          <cell r="I219" t="str">
            <v>Reading School</v>
          </cell>
          <cell r="J219" t="str">
            <v>Southern</v>
          </cell>
          <cell r="K219">
            <v>0</v>
          </cell>
          <cell r="L219" t="str">
            <v>BDO</v>
          </cell>
        </row>
        <row r="220">
          <cell r="F220">
            <v>3946907</v>
          </cell>
          <cell r="G220" t="str">
            <v xml:space="preserve">Individual </v>
          </cell>
          <cell r="H220" t="str">
            <v>-</v>
          </cell>
          <cell r="I220" t="str">
            <v>Red House Academy</v>
          </cell>
          <cell r="J220" t="str">
            <v>Northern</v>
          </cell>
          <cell r="K220">
            <v>0</v>
          </cell>
          <cell r="L220" t="str">
            <v>BDO</v>
          </cell>
        </row>
        <row r="221">
          <cell r="F221">
            <v>8914084</v>
          </cell>
          <cell r="G221">
            <v>0</v>
          </cell>
          <cell r="H221" t="str">
            <v>-</v>
          </cell>
          <cell r="I221" t="str">
            <v>Redhill Academy</v>
          </cell>
          <cell r="J221" t="str">
            <v>Eastern</v>
          </cell>
          <cell r="K221">
            <v>0</v>
          </cell>
          <cell r="L221" t="str">
            <v>BDO</v>
          </cell>
        </row>
        <row r="222">
          <cell r="F222">
            <v>9165200</v>
          </cell>
          <cell r="G222" t="str">
            <v>Individual</v>
          </cell>
          <cell r="H222" t="str">
            <v>-</v>
          </cell>
          <cell r="I222" t="str">
            <v>Robinswood Primary School</v>
          </cell>
          <cell r="J222" t="str">
            <v>Western</v>
          </cell>
          <cell r="K222">
            <v>0</v>
          </cell>
          <cell r="L222" t="str">
            <v>BDO</v>
          </cell>
        </row>
        <row r="223">
          <cell r="F223">
            <v>3202040</v>
          </cell>
          <cell r="G223" t="str">
            <v>Individual</v>
          </cell>
          <cell r="H223" t="str">
            <v>-</v>
          </cell>
          <cell r="I223" t="str">
            <v>Roger Ascham Primary School</v>
          </cell>
          <cell r="J223" t="str">
            <v>Southern</v>
          </cell>
          <cell r="K223">
            <v>0</v>
          </cell>
          <cell r="L223" t="str">
            <v>BDO</v>
          </cell>
        </row>
        <row r="224">
          <cell r="F224">
            <v>9375406</v>
          </cell>
          <cell r="G224" t="str">
            <v>Individual</v>
          </cell>
          <cell r="H224" t="str">
            <v>-</v>
          </cell>
          <cell r="I224" t="str">
            <v>Rugby High School</v>
          </cell>
          <cell r="J224" t="str">
            <v>Western</v>
          </cell>
          <cell r="K224">
            <v>0</v>
          </cell>
          <cell r="L224" t="str">
            <v>BDO</v>
          </cell>
        </row>
        <row r="225">
          <cell r="F225">
            <v>3352224</v>
          </cell>
          <cell r="G225" t="str">
            <v>Individual</v>
          </cell>
          <cell r="H225" t="str">
            <v>-</v>
          </cell>
          <cell r="I225" t="str">
            <v>Ryders Hayes Academy Trust</v>
          </cell>
          <cell r="J225" t="str">
            <v>Western</v>
          </cell>
          <cell r="K225">
            <v>0</v>
          </cell>
          <cell r="L225" t="str">
            <v>BDO</v>
          </cell>
        </row>
        <row r="226">
          <cell r="F226">
            <v>3584029</v>
          </cell>
          <cell r="G226" t="str">
            <v xml:space="preserve">Individual </v>
          </cell>
          <cell r="H226" t="str">
            <v>-</v>
          </cell>
          <cell r="I226" t="str">
            <v xml:space="preserve">Sale Grammar School </v>
          </cell>
          <cell r="J226" t="str">
            <v>Northern</v>
          </cell>
          <cell r="K226">
            <v>0</v>
          </cell>
          <cell r="L226" t="str">
            <v>BDO</v>
          </cell>
        </row>
        <row r="227">
          <cell r="F227">
            <v>9084143</v>
          </cell>
          <cell r="G227" t="str">
            <v>Individual</v>
          </cell>
          <cell r="H227" t="str">
            <v>-</v>
          </cell>
          <cell r="I227" t="str">
            <v>saltash.net Academy Trust</v>
          </cell>
          <cell r="J227" t="str">
            <v>Western</v>
          </cell>
          <cell r="K227">
            <v>0</v>
          </cell>
          <cell r="L227" t="str">
            <v>BDO</v>
          </cell>
        </row>
        <row r="228">
          <cell r="F228">
            <v>9354102</v>
          </cell>
          <cell r="G228">
            <v>0</v>
          </cell>
          <cell r="H228" t="str">
            <v>-</v>
          </cell>
          <cell r="I228" t="str">
            <v>Samuel Ward Academy</v>
          </cell>
          <cell r="J228" t="str">
            <v>Eastern</v>
          </cell>
          <cell r="K228">
            <v>0</v>
          </cell>
          <cell r="L228" t="str">
            <v>BDO</v>
          </cell>
        </row>
        <row r="229">
          <cell r="F229">
            <v>8916905</v>
          </cell>
          <cell r="G229">
            <v>0</v>
          </cell>
          <cell r="H229" t="str">
            <v>-</v>
          </cell>
          <cell r="I229" t="str">
            <v>Samworth Church Academy</v>
          </cell>
          <cell r="J229" t="str">
            <v>Eastern</v>
          </cell>
          <cell r="K229">
            <v>0</v>
          </cell>
          <cell r="L229" t="str">
            <v>BDO</v>
          </cell>
        </row>
        <row r="230">
          <cell r="F230">
            <v>8566905</v>
          </cell>
          <cell r="G230">
            <v>0</v>
          </cell>
          <cell r="H230" t="str">
            <v>-</v>
          </cell>
          <cell r="I230" t="str">
            <v>Samworth Enterprise Academy</v>
          </cell>
          <cell r="J230" t="str">
            <v>Eastern</v>
          </cell>
          <cell r="K230">
            <v>0</v>
          </cell>
          <cell r="L230" t="str">
            <v>BDO</v>
          </cell>
        </row>
        <row r="231">
          <cell r="F231">
            <v>8954123</v>
          </cell>
          <cell r="G231" t="str">
            <v xml:space="preserve">Individual </v>
          </cell>
          <cell r="H231" t="str">
            <v>-</v>
          </cell>
          <cell r="I231" t="str">
            <v xml:space="preserve">Sandbach High School and Sixth Form College  </v>
          </cell>
          <cell r="J231" t="str">
            <v>Northern</v>
          </cell>
          <cell r="K231">
            <v>0</v>
          </cell>
          <cell r="L231" t="str">
            <v>BDO</v>
          </cell>
        </row>
        <row r="232">
          <cell r="F232">
            <v>9194197</v>
          </cell>
          <cell r="G232">
            <v>0</v>
          </cell>
          <cell r="H232" t="str">
            <v>-</v>
          </cell>
          <cell r="I232" t="str">
            <v>Sandringham School</v>
          </cell>
          <cell r="J232" t="str">
            <v>Eastern</v>
          </cell>
          <cell r="K232">
            <v>0</v>
          </cell>
          <cell r="L232" t="str">
            <v>BDO</v>
          </cell>
        </row>
        <row r="233">
          <cell r="F233">
            <v>3336905</v>
          </cell>
          <cell r="G233" t="str">
            <v>Individual</v>
          </cell>
          <cell r="H233" t="str">
            <v>-</v>
          </cell>
          <cell r="I233" t="str">
            <v>Sandwell Academy</v>
          </cell>
          <cell r="J233" t="str">
            <v>Western</v>
          </cell>
          <cell r="K233">
            <v>0</v>
          </cell>
          <cell r="L233" t="str">
            <v>BDO</v>
          </cell>
        </row>
        <row r="234">
          <cell r="F234">
            <v>8865463</v>
          </cell>
          <cell r="G234" t="str">
            <v>Individual</v>
          </cell>
          <cell r="H234" t="str">
            <v>-</v>
          </cell>
          <cell r="I234" t="str">
            <v xml:space="preserve">Sandwich Technology School  </v>
          </cell>
          <cell r="J234" t="str">
            <v>Southern</v>
          </cell>
          <cell r="K234">
            <v>0</v>
          </cell>
          <cell r="L234" t="str">
            <v>BDO</v>
          </cell>
        </row>
        <row r="235">
          <cell r="F235">
            <v>9082448</v>
          </cell>
          <cell r="G235" t="str">
            <v>Individual</v>
          </cell>
          <cell r="H235" t="str">
            <v>-</v>
          </cell>
          <cell r="I235" t="str">
            <v>Sandy Hill Community Primary School</v>
          </cell>
          <cell r="J235" t="str">
            <v>Western</v>
          </cell>
          <cell r="K235">
            <v>0</v>
          </cell>
          <cell r="L235" t="str">
            <v>BDO</v>
          </cell>
        </row>
        <row r="236">
          <cell r="F236">
            <v>8234033</v>
          </cell>
          <cell r="G236">
            <v>0</v>
          </cell>
          <cell r="H236" t="str">
            <v>-</v>
          </cell>
          <cell r="I236" t="str">
            <v>Sandye Place Academy</v>
          </cell>
          <cell r="J236" t="str">
            <v>Eastern</v>
          </cell>
          <cell r="K236">
            <v>0</v>
          </cell>
          <cell r="L236" t="str">
            <v>BDO</v>
          </cell>
        </row>
        <row r="237">
          <cell r="F237">
            <v>8656906</v>
          </cell>
          <cell r="G237" t="str">
            <v>Individual</v>
          </cell>
          <cell r="H237" t="str">
            <v>-</v>
          </cell>
          <cell r="I237" t="str">
            <v>Sarum Academy</v>
          </cell>
          <cell r="J237" t="str">
            <v>Western</v>
          </cell>
          <cell r="K237">
            <v>0</v>
          </cell>
          <cell r="L237" t="str">
            <v>BDO</v>
          </cell>
        </row>
        <row r="238">
          <cell r="F238">
            <v>9092130</v>
          </cell>
          <cell r="G238" t="str">
            <v xml:space="preserve">Individual </v>
          </cell>
          <cell r="H238" t="str">
            <v>-</v>
          </cell>
          <cell r="I238" t="str">
            <v>Seaton Academy</v>
          </cell>
          <cell r="J238" t="str">
            <v>Northern</v>
          </cell>
          <cell r="K238">
            <v>0</v>
          </cell>
          <cell r="L238" t="str">
            <v>BDO</v>
          </cell>
        </row>
        <row r="239">
          <cell r="F239">
            <v>3355402</v>
          </cell>
          <cell r="G239" t="str">
            <v>Individual</v>
          </cell>
          <cell r="H239" t="str">
            <v>-</v>
          </cell>
          <cell r="I239" t="str">
            <v>Shire Oak Academy</v>
          </cell>
          <cell r="J239" t="str">
            <v>Western</v>
          </cell>
          <cell r="K239">
            <v>0</v>
          </cell>
          <cell r="L239" t="str">
            <v>BDO</v>
          </cell>
        </row>
        <row r="240">
          <cell r="F240">
            <v>8306905</v>
          </cell>
          <cell r="G240">
            <v>0</v>
          </cell>
          <cell r="H240" t="str">
            <v>-</v>
          </cell>
          <cell r="I240" t="str">
            <v>Shirebrook Academy</v>
          </cell>
          <cell r="J240" t="str">
            <v>Eastern</v>
          </cell>
          <cell r="K240">
            <v>0</v>
          </cell>
          <cell r="L240" t="str">
            <v>BDO</v>
          </cell>
        </row>
        <row r="241">
          <cell r="F241">
            <v>3316906</v>
          </cell>
          <cell r="G241" t="str">
            <v>Individual</v>
          </cell>
          <cell r="H241" t="str">
            <v>-</v>
          </cell>
          <cell r="I241" t="str">
            <v>Sidney Stringer Academy</v>
          </cell>
          <cell r="J241" t="str">
            <v>Western</v>
          </cell>
          <cell r="K241">
            <v>0</v>
          </cell>
          <cell r="L241" t="str">
            <v>BDO</v>
          </cell>
        </row>
        <row r="242">
          <cell r="F242">
            <v>8865428</v>
          </cell>
          <cell r="G242" t="str">
            <v>Individual</v>
          </cell>
          <cell r="H242" t="str">
            <v>-</v>
          </cell>
          <cell r="I242" t="str">
            <v>Sir Roger Manwood's School</v>
          </cell>
          <cell r="J242" t="str">
            <v>Southern</v>
          </cell>
          <cell r="K242">
            <v>0</v>
          </cell>
          <cell r="L242" t="str">
            <v>BDO</v>
          </cell>
        </row>
        <row r="243">
          <cell r="F243">
            <v>9164001</v>
          </cell>
          <cell r="G243" t="str">
            <v>Individual</v>
          </cell>
          <cell r="H243" t="str">
            <v>-</v>
          </cell>
          <cell r="I243" t="str">
            <v>Sir Thomas Rich's School</v>
          </cell>
          <cell r="J243" t="str">
            <v>Western</v>
          </cell>
          <cell r="K243">
            <v>0</v>
          </cell>
          <cell r="L243" t="str">
            <v>BDO</v>
          </cell>
        </row>
        <row r="244">
          <cell r="F244">
            <v>8106906</v>
          </cell>
          <cell r="G244" t="str">
            <v xml:space="preserve">Individual </v>
          </cell>
          <cell r="H244" t="str">
            <v>-</v>
          </cell>
          <cell r="I244" t="str">
            <v>Sirius Academy</v>
          </cell>
          <cell r="J244" t="str">
            <v>Northern</v>
          </cell>
          <cell r="K244">
            <v>0</v>
          </cell>
          <cell r="L244" t="str">
            <v>BDO</v>
          </cell>
        </row>
        <row r="245">
          <cell r="F245">
            <v>2046909</v>
          </cell>
          <cell r="G245" t="str">
            <v>Individual</v>
          </cell>
          <cell r="H245" t="str">
            <v>-</v>
          </cell>
          <cell r="I245" t="str">
            <v>Skinners' Academy</v>
          </cell>
          <cell r="J245" t="str">
            <v>Southern</v>
          </cell>
          <cell r="K245">
            <v>0</v>
          </cell>
          <cell r="L245" t="str">
            <v>BDO</v>
          </cell>
        </row>
        <row r="246">
          <cell r="F246">
            <v>8866916</v>
          </cell>
          <cell r="G246" t="str">
            <v>Individual</v>
          </cell>
          <cell r="H246" t="str">
            <v>-</v>
          </cell>
          <cell r="I246" t="str">
            <v>Skinners' Kent Academy</v>
          </cell>
          <cell r="J246" t="str">
            <v>Southern</v>
          </cell>
          <cell r="K246">
            <v>0</v>
          </cell>
          <cell r="L246" t="str">
            <v>BDO</v>
          </cell>
        </row>
        <row r="247">
          <cell r="F247">
            <v>8715408</v>
          </cell>
          <cell r="G247" t="str">
            <v>Individual</v>
          </cell>
          <cell r="H247" t="str">
            <v>-</v>
          </cell>
          <cell r="I247" t="str">
            <v>Slough Grammar School</v>
          </cell>
          <cell r="J247" t="str">
            <v>Southern</v>
          </cell>
          <cell r="K247">
            <v>0</v>
          </cell>
          <cell r="L247" t="str">
            <v>BDO</v>
          </cell>
        </row>
        <row r="248">
          <cell r="F248">
            <v>8735415</v>
          </cell>
          <cell r="G248">
            <v>0</v>
          </cell>
          <cell r="H248" t="str">
            <v>-</v>
          </cell>
          <cell r="I248" t="str">
            <v>Soham Village College</v>
          </cell>
          <cell r="J248" t="str">
            <v>Eastern</v>
          </cell>
          <cell r="K248">
            <v>0</v>
          </cell>
          <cell r="L248" t="str">
            <v>BDO</v>
          </cell>
        </row>
        <row r="249">
          <cell r="F249">
            <v>8114056</v>
          </cell>
          <cell r="G249" t="str">
            <v xml:space="preserve">Individual </v>
          </cell>
          <cell r="H249" t="str">
            <v>-</v>
          </cell>
          <cell r="I249" t="str">
            <v>South Hunsley School and Sixth Form College</v>
          </cell>
          <cell r="J249" t="str">
            <v>Northern</v>
          </cell>
          <cell r="K249">
            <v>0</v>
          </cell>
          <cell r="L249" t="str">
            <v>BDO</v>
          </cell>
        </row>
        <row r="250">
          <cell r="F250">
            <v>3836907</v>
          </cell>
          <cell r="G250" t="str">
            <v xml:space="preserve">Individual </v>
          </cell>
          <cell r="H250" t="str">
            <v>-</v>
          </cell>
          <cell r="I250" t="str">
            <v>South Leeds Academy</v>
          </cell>
          <cell r="J250" t="str">
            <v>Northern</v>
          </cell>
          <cell r="K250">
            <v>0</v>
          </cell>
          <cell r="L250" t="str">
            <v>BDO</v>
          </cell>
        </row>
        <row r="251">
          <cell r="F251">
            <v>8655412</v>
          </cell>
          <cell r="G251" t="str">
            <v>Individual</v>
          </cell>
          <cell r="H251" t="str">
            <v>-</v>
          </cell>
          <cell r="I251" t="str">
            <v>South Wilts Grammar School</v>
          </cell>
          <cell r="J251" t="str">
            <v>Western</v>
          </cell>
          <cell r="K251">
            <v>0</v>
          </cell>
          <cell r="L251" t="str">
            <v>BDO</v>
          </cell>
        </row>
        <row r="252">
          <cell r="F252">
            <v>8825446</v>
          </cell>
          <cell r="G252">
            <v>0</v>
          </cell>
          <cell r="H252" t="str">
            <v>-</v>
          </cell>
          <cell r="I252" t="str">
            <v>Southend High School for Boys</v>
          </cell>
          <cell r="J252" t="str">
            <v>Eastern</v>
          </cell>
          <cell r="K252">
            <v>0</v>
          </cell>
          <cell r="L252" t="str">
            <v>BDO</v>
          </cell>
        </row>
        <row r="253">
          <cell r="F253">
            <v>8825428</v>
          </cell>
          <cell r="G253">
            <v>0</v>
          </cell>
          <cell r="H253" t="str">
            <v>-</v>
          </cell>
          <cell r="I253" t="str">
            <v>Southend High School for Girls</v>
          </cell>
          <cell r="J253" t="str">
            <v>Eastern</v>
          </cell>
          <cell r="K253">
            <v>0</v>
          </cell>
          <cell r="L253" t="str">
            <v>BDO</v>
          </cell>
        </row>
        <row r="254">
          <cell r="F254">
            <v>9382136</v>
          </cell>
          <cell r="G254" t="str">
            <v>Individual</v>
          </cell>
          <cell r="H254" t="str">
            <v>-</v>
          </cell>
          <cell r="I254" t="str">
            <v>Southwater Infant School</v>
          </cell>
          <cell r="J254" t="str">
            <v>Southern</v>
          </cell>
          <cell r="K254">
            <v>0</v>
          </cell>
          <cell r="L254" t="str">
            <v>BDO</v>
          </cell>
        </row>
        <row r="255">
          <cell r="F255">
            <v>8866911</v>
          </cell>
          <cell r="G255" t="str">
            <v>Individual</v>
          </cell>
          <cell r="H255" t="str">
            <v>-</v>
          </cell>
          <cell r="I255" t="str">
            <v>Spires Academy</v>
          </cell>
          <cell r="J255" t="str">
            <v>Southern</v>
          </cell>
          <cell r="K255">
            <v>0</v>
          </cell>
          <cell r="L255" t="str">
            <v>BDO</v>
          </cell>
        </row>
        <row r="256">
          <cell r="F256">
            <v>9284004</v>
          </cell>
          <cell r="G256">
            <v>0</v>
          </cell>
          <cell r="H256" t="str">
            <v>-</v>
          </cell>
          <cell r="I256" t="str">
            <v>Sponne School</v>
          </cell>
          <cell r="J256" t="str">
            <v>Eastern</v>
          </cell>
          <cell r="K256">
            <v>0</v>
          </cell>
          <cell r="L256" t="str">
            <v>BDO</v>
          </cell>
        </row>
        <row r="257">
          <cell r="F257">
            <v>9264081</v>
          </cell>
          <cell r="G257">
            <v>0</v>
          </cell>
          <cell r="H257" t="str">
            <v>-</v>
          </cell>
          <cell r="I257" t="str">
            <v>Springwood High School</v>
          </cell>
          <cell r="J257" t="str">
            <v>Eastern</v>
          </cell>
          <cell r="K257">
            <v>0</v>
          </cell>
          <cell r="L257" t="str">
            <v>BDO</v>
          </cell>
        </row>
        <row r="258">
          <cell r="F258">
            <v>8416905</v>
          </cell>
          <cell r="G258" t="str">
            <v xml:space="preserve">Individual </v>
          </cell>
          <cell r="H258" t="str">
            <v>-</v>
          </cell>
          <cell r="I258" t="str">
            <v>St Aidan's Church of England Academy</v>
          </cell>
          <cell r="J258" t="str">
            <v>Northern</v>
          </cell>
          <cell r="K258">
            <v>0</v>
          </cell>
          <cell r="L258" t="str">
            <v>BDO</v>
          </cell>
        </row>
        <row r="259">
          <cell r="F259">
            <v>8366905</v>
          </cell>
          <cell r="G259" t="str">
            <v>Individual</v>
          </cell>
          <cell r="H259" t="str">
            <v>-</v>
          </cell>
          <cell r="I259" t="str">
            <v>St Aldhelm's Academy</v>
          </cell>
          <cell r="J259" t="str">
            <v>Western</v>
          </cell>
          <cell r="K259">
            <v>0</v>
          </cell>
          <cell r="L259" t="str">
            <v>BDO</v>
          </cell>
        </row>
        <row r="260">
          <cell r="F260">
            <v>3546905</v>
          </cell>
          <cell r="G260" t="str">
            <v xml:space="preserve">Individual </v>
          </cell>
          <cell r="H260" t="str">
            <v>-</v>
          </cell>
          <cell r="I260" t="str">
            <v>St Anne's Academy</v>
          </cell>
          <cell r="J260" t="str">
            <v>Northern</v>
          </cell>
          <cell r="K260">
            <v>0</v>
          </cell>
          <cell r="L260" t="str">
            <v>BDO</v>
          </cell>
        </row>
        <row r="261">
          <cell r="F261">
            <v>9085201</v>
          </cell>
          <cell r="G261" t="str">
            <v>Individual</v>
          </cell>
          <cell r="H261" t="str">
            <v>-</v>
          </cell>
          <cell r="I261" t="str">
            <v>St Buryan Primary School</v>
          </cell>
          <cell r="J261" t="str">
            <v>Western</v>
          </cell>
          <cell r="K261">
            <v>0</v>
          </cell>
          <cell r="L261" t="str">
            <v>BDO</v>
          </cell>
        </row>
        <row r="262">
          <cell r="F262">
            <v>9256909</v>
          </cell>
          <cell r="G262">
            <v>0</v>
          </cell>
          <cell r="H262" t="str">
            <v>-</v>
          </cell>
          <cell r="I262" t="str">
            <v>St George's Academy</v>
          </cell>
          <cell r="J262" t="str">
            <v>Eastern</v>
          </cell>
          <cell r="K262">
            <v>0</v>
          </cell>
          <cell r="L262" t="str">
            <v>BDO</v>
          </cell>
        </row>
        <row r="263">
          <cell r="F263">
            <v>8615901</v>
          </cell>
          <cell r="G263" t="str">
            <v>Individual</v>
          </cell>
          <cell r="H263" t="str">
            <v>-</v>
          </cell>
          <cell r="I263" t="str">
            <v>St Joseph's College Edmund Rice Trust Academy</v>
          </cell>
          <cell r="J263" t="str">
            <v>Western</v>
          </cell>
          <cell r="K263">
            <v>0</v>
          </cell>
          <cell r="L263" t="str">
            <v>BDO</v>
          </cell>
        </row>
        <row r="264">
          <cell r="F264">
            <v>2022000</v>
          </cell>
          <cell r="G264" t="str">
            <v>Individual</v>
          </cell>
          <cell r="H264" t="str">
            <v>-</v>
          </cell>
          <cell r="I264" t="str">
            <v>St Luke’s Church of England School</v>
          </cell>
          <cell r="J264" t="str">
            <v>Southern</v>
          </cell>
          <cell r="K264">
            <v>0</v>
          </cell>
          <cell r="L264" t="str">
            <v>BDO</v>
          </cell>
        </row>
        <row r="265">
          <cell r="F265">
            <v>3156906</v>
          </cell>
          <cell r="G265" t="str">
            <v>Individual</v>
          </cell>
          <cell r="H265" t="str">
            <v>-</v>
          </cell>
          <cell r="I265" t="str">
            <v>St Mark's Church of England Academy</v>
          </cell>
          <cell r="J265" t="str">
            <v>Southern</v>
          </cell>
          <cell r="K265">
            <v>0</v>
          </cell>
          <cell r="L265" t="str">
            <v>BDO</v>
          </cell>
        </row>
        <row r="266">
          <cell r="F266">
            <v>2066905</v>
          </cell>
          <cell r="G266" t="str">
            <v>Individual</v>
          </cell>
          <cell r="H266" t="str">
            <v>-</v>
          </cell>
          <cell r="I266" t="str">
            <v>St Mary Magdalene Academy</v>
          </cell>
          <cell r="J266" t="str">
            <v>Southern</v>
          </cell>
          <cell r="K266">
            <v>0</v>
          </cell>
          <cell r="L266" t="str">
            <v>BDO</v>
          </cell>
        </row>
        <row r="267">
          <cell r="F267">
            <v>2096907</v>
          </cell>
          <cell r="G267" t="str">
            <v>Individual</v>
          </cell>
          <cell r="H267" t="str">
            <v>-</v>
          </cell>
          <cell r="I267" t="str">
            <v>St Matthew Academy</v>
          </cell>
          <cell r="J267" t="str">
            <v>Southern</v>
          </cell>
          <cell r="K267">
            <v>0</v>
          </cell>
          <cell r="L267" t="str">
            <v>BDO</v>
          </cell>
        </row>
        <row r="268">
          <cell r="F268">
            <v>2106910</v>
          </cell>
          <cell r="G268" t="str">
            <v>Individual</v>
          </cell>
          <cell r="H268" t="str">
            <v>-</v>
          </cell>
          <cell r="I268" t="str">
            <v>St Michael and All Angels CofE</v>
          </cell>
          <cell r="J268" t="str">
            <v>Southern</v>
          </cell>
          <cell r="K268">
            <v>0</v>
          </cell>
          <cell r="L268" t="str">
            <v>BDO</v>
          </cell>
        </row>
        <row r="269">
          <cell r="F269">
            <v>3343313</v>
          </cell>
          <cell r="G269" t="str">
            <v>Individual</v>
          </cell>
          <cell r="H269" t="str">
            <v>-</v>
          </cell>
          <cell r="I269" t="str">
            <v>St Patrick's CofE Junior and Infant School</v>
          </cell>
          <cell r="J269" t="str">
            <v>Western</v>
          </cell>
          <cell r="K269">
            <v>0</v>
          </cell>
          <cell r="L269" t="str">
            <v>BDO</v>
          </cell>
        </row>
        <row r="270">
          <cell r="F270">
            <v>2036905</v>
          </cell>
          <cell r="G270" t="str">
            <v>Individual</v>
          </cell>
          <cell r="H270" t="str">
            <v>-</v>
          </cell>
          <cell r="I270" t="str">
            <v>St Paul's Academy</v>
          </cell>
          <cell r="J270" t="str">
            <v>Southern</v>
          </cell>
          <cell r="K270">
            <v>0</v>
          </cell>
          <cell r="L270" t="str">
            <v>BDO</v>
          </cell>
        </row>
        <row r="271">
          <cell r="F271">
            <v>8862608</v>
          </cell>
          <cell r="G271" t="str">
            <v>Individual</v>
          </cell>
          <cell r="H271" t="str">
            <v>-</v>
          </cell>
          <cell r="I271" t="str">
            <v>St Stephen's Junior School</v>
          </cell>
          <cell r="J271" t="str">
            <v>Southern</v>
          </cell>
          <cell r="K271">
            <v>0</v>
          </cell>
          <cell r="L271" t="str">
            <v>BDO</v>
          </cell>
        </row>
        <row r="272">
          <cell r="F272">
            <v>3126905</v>
          </cell>
          <cell r="G272" t="str">
            <v>Individual</v>
          </cell>
          <cell r="H272" t="str">
            <v>-</v>
          </cell>
          <cell r="I272" t="str">
            <v>Stockley Academy</v>
          </cell>
          <cell r="J272" t="str">
            <v>Southern</v>
          </cell>
          <cell r="K272">
            <v>0</v>
          </cell>
          <cell r="L272" t="str">
            <v>BDO</v>
          </cell>
        </row>
        <row r="273">
          <cell r="F273">
            <v>2084322</v>
          </cell>
          <cell r="G273" t="str">
            <v>Individual</v>
          </cell>
          <cell r="H273" t="str">
            <v>-</v>
          </cell>
          <cell r="I273" t="str">
            <v>Stockwell Park High School</v>
          </cell>
          <cell r="J273" t="str">
            <v>Southern</v>
          </cell>
          <cell r="K273">
            <v>0</v>
          </cell>
          <cell r="L273" t="str">
            <v>BDO</v>
          </cell>
        </row>
        <row r="274">
          <cell r="F274">
            <v>9354001</v>
          </cell>
          <cell r="G274">
            <v>0</v>
          </cell>
          <cell r="H274" t="str">
            <v>-</v>
          </cell>
          <cell r="I274" t="str">
            <v>Stour Valley Community School</v>
          </cell>
          <cell r="J274" t="str">
            <v>Eastern</v>
          </cell>
          <cell r="K274">
            <v>0</v>
          </cell>
          <cell r="L274" t="str">
            <v>BDO</v>
          </cell>
        </row>
        <row r="275">
          <cell r="F275">
            <v>8876905</v>
          </cell>
          <cell r="G275" t="str">
            <v>Individual</v>
          </cell>
          <cell r="H275" t="str">
            <v>-</v>
          </cell>
          <cell r="I275" t="str">
            <v>Strood Academy</v>
          </cell>
          <cell r="J275" t="str">
            <v>Southern</v>
          </cell>
          <cell r="K275">
            <v>0</v>
          </cell>
          <cell r="L275" t="str">
            <v>BDO</v>
          </cell>
        </row>
        <row r="276">
          <cell r="F276">
            <v>9364459</v>
          </cell>
          <cell r="G276" t="str">
            <v>Individual</v>
          </cell>
          <cell r="H276" t="str">
            <v>-</v>
          </cell>
          <cell r="I276" t="str">
            <v>Sunbury Manor School</v>
          </cell>
          <cell r="J276" t="str">
            <v>Southern</v>
          </cell>
          <cell r="K276">
            <v>0</v>
          </cell>
          <cell r="L276" t="str">
            <v>BDO</v>
          </cell>
        </row>
        <row r="277">
          <cell r="F277">
            <v>8404215</v>
          </cell>
          <cell r="G277" t="str">
            <v xml:space="preserve">Individual </v>
          </cell>
          <cell r="H277" t="str">
            <v>-</v>
          </cell>
          <cell r="I277" t="str">
            <v>The Academy at Shotton Hall</v>
          </cell>
          <cell r="J277" t="str">
            <v>Northern</v>
          </cell>
          <cell r="K277">
            <v>0</v>
          </cell>
          <cell r="L277" t="str">
            <v>BDO</v>
          </cell>
        </row>
        <row r="278">
          <cell r="F278">
            <v>3416905</v>
          </cell>
          <cell r="G278" t="str">
            <v xml:space="preserve">Individual </v>
          </cell>
          <cell r="H278" t="str">
            <v>-</v>
          </cell>
          <cell r="I278" t="str">
            <v>The Academy of St Francis of Assisi</v>
          </cell>
          <cell r="J278" t="str">
            <v>Northern</v>
          </cell>
          <cell r="K278">
            <v>0</v>
          </cell>
          <cell r="L278" t="str">
            <v>BDO</v>
          </cell>
        </row>
        <row r="279">
          <cell r="F279">
            <v>8256905</v>
          </cell>
          <cell r="G279" t="str">
            <v>Individual</v>
          </cell>
          <cell r="H279" t="str">
            <v>-</v>
          </cell>
          <cell r="I279" t="str">
            <v>The Aylesbury Vale Academy</v>
          </cell>
          <cell r="J279" t="str">
            <v>Southern</v>
          </cell>
          <cell r="K279">
            <v>0</v>
          </cell>
          <cell r="L279" t="str">
            <v>BDO</v>
          </cell>
        </row>
        <row r="280">
          <cell r="F280">
            <v>8226905</v>
          </cell>
          <cell r="G280">
            <v>0</v>
          </cell>
          <cell r="H280" t="str">
            <v>-</v>
          </cell>
          <cell r="I280" t="str">
            <v>The Bedford Academy</v>
          </cell>
          <cell r="J280" t="str">
            <v>Eastern</v>
          </cell>
          <cell r="K280">
            <v>0</v>
          </cell>
          <cell r="L280" t="str">
            <v>BDO</v>
          </cell>
        </row>
        <row r="281">
          <cell r="F281">
            <v>8376905</v>
          </cell>
          <cell r="G281" t="str">
            <v>Individual</v>
          </cell>
          <cell r="H281" t="str">
            <v>-</v>
          </cell>
          <cell r="I281" t="str">
            <v>The Bishop of Winchester Academy</v>
          </cell>
          <cell r="J281" t="str">
            <v>Western</v>
          </cell>
          <cell r="K281">
            <v>0</v>
          </cell>
          <cell r="L281" t="str">
            <v>BDO</v>
          </cell>
        </row>
        <row r="282">
          <cell r="F282">
            <v>8376906</v>
          </cell>
          <cell r="G282" t="str">
            <v>Individual</v>
          </cell>
          <cell r="H282" t="str">
            <v>-</v>
          </cell>
          <cell r="I282" t="str">
            <v>The Bourne Academy</v>
          </cell>
          <cell r="J282" t="str">
            <v>Western</v>
          </cell>
          <cell r="K282">
            <v>0</v>
          </cell>
          <cell r="L282" t="str">
            <v>BDO</v>
          </cell>
        </row>
        <row r="283">
          <cell r="F283">
            <v>2046907</v>
          </cell>
          <cell r="G283" t="str">
            <v>Individual</v>
          </cell>
          <cell r="H283" t="str">
            <v>-</v>
          </cell>
          <cell r="I283" t="str">
            <v>The Bridge Academy</v>
          </cell>
          <cell r="J283" t="str">
            <v>Southern</v>
          </cell>
          <cell r="K283">
            <v>0</v>
          </cell>
          <cell r="L283" t="str">
            <v>BDO</v>
          </cell>
        </row>
        <row r="284">
          <cell r="F284">
            <v>3066900</v>
          </cell>
          <cell r="G284" t="str">
            <v>Individual</v>
          </cell>
          <cell r="H284" t="str">
            <v>-</v>
          </cell>
          <cell r="I284" t="str">
            <v>The BRIT School for the Performing Arts &amp; Technology (CTC)</v>
          </cell>
          <cell r="J284" t="str">
            <v>Southern</v>
          </cell>
          <cell r="K284">
            <v>0</v>
          </cell>
          <cell r="L284" t="str">
            <v>BDO</v>
          </cell>
        </row>
        <row r="285">
          <cell r="F285">
            <v>9194101</v>
          </cell>
          <cell r="G285">
            <v>0</v>
          </cell>
          <cell r="H285" t="str">
            <v>-</v>
          </cell>
          <cell r="I285" t="str">
            <v>The Broxbourne School</v>
          </cell>
          <cell r="J285" t="str">
            <v>Eastern</v>
          </cell>
          <cell r="K285">
            <v>0</v>
          </cell>
          <cell r="L285" t="str">
            <v>BDO</v>
          </cell>
        </row>
        <row r="286">
          <cell r="F286">
            <v>8926919</v>
          </cell>
          <cell r="G286">
            <v>0</v>
          </cell>
          <cell r="H286" t="str">
            <v>-</v>
          </cell>
          <cell r="I286" t="str">
            <v>The Bulwell Academy</v>
          </cell>
          <cell r="J286" t="str">
            <v>Eastern</v>
          </cell>
          <cell r="K286">
            <v>0</v>
          </cell>
          <cell r="L286" t="str">
            <v>BDO</v>
          </cell>
        </row>
        <row r="287">
          <cell r="F287">
            <v>9196906</v>
          </cell>
          <cell r="G287">
            <v>0</v>
          </cell>
          <cell r="H287" t="str">
            <v>-</v>
          </cell>
          <cell r="I287" t="str">
            <v>The Bushey Academy</v>
          </cell>
          <cell r="J287" t="str">
            <v>Eastern</v>
          </cell>
          <cell r="K287">
            <v>0</v>
          </cell>
          <cell r="L287" t="str">
            <v>BDO</v>
          </cell>
        </row>
        <row r="288">
          <cell r="F288">
            <v>3036905</v>
          </cell>
          <cell r="G288" t="str">
            <v>Individual</v>
          </cell>
          <cell r="H288" t="str">
            <v>-</v>
          </cell>
          <cell r="I288" t="str">
            <v>The Business Academy Bexley</v>
          </cell>
          <cell r="J288" t="str">
            <v>Southern</v>
          </cell>
          <cell r="K288">
            <v>0</v>
          </cell>
          <cell r="L288" t="str">
            <v>BDO</v>
          </cell>
        </row>
        <row r="289">
          <cell r="F289">
            <v>3175400</v>
          </cell>
          <cell r="G289" t="str">
            <v>Individual</v>
          </cell>
          <cell r="H289" t="str">
            <v>-</v>
          </cell>
          <cell r="I289" t="str">
            <v>The Chadwell Heath Academy</v>
          </cell>
          <cell r="J289" t="str">
            <v>Southern</v>
          </cell>
          <cell r="K289">
            <v>0</v>
          </cell>
          <cell r="L289" t="str">
            <v>BDO</v>
          </cell>
        </row>
        <row r="290">
          <cell r="F290">
            <v>2104318</v>
          </cell>
          <cell r="G290" t="str">
            <v>Individual</v>
          </cell>
          <cell r="H290" t="str">
            <v>-</v>
          </cell>
          <cell r="I290" t="str">
            <v>The Charter School</v>
          </cell>
          <cell r="J290" t="str">
            <v>Southern</v>
          </cell>
          <cell r="K290">
            <v>0</v>
          </cell>
          <cell r="L290" t="str">
            <v>BDO</v>
          </cell>
        </row>
        <row r="291">
          <cell r="F291">
            <v>8016905</v>
          </cell>
          <cell r="G291" t="str">
            <v>Individual</v>
          </cell>
          <cell r="H291" t="str">
            <v>-</v>
          </cell>
          <cell r="I291" t="str">
            <v>The City Academy Bristol</v>
          </cell>
          <cell r="J291" t="str">
            <v>Western</v>
          </cell>
          <cell r="K291">
            <v>0</v>
          </cell>
          <cell r="L291" t="str">
            <v>BDO</v>
          </cell>
        </row>
        <row r="292">
          <cell r="F292">
            <v>2046908</v>
          </cell>
          <cell r="G292" t="str">
            <v>Individual</v>
          </cell>
          <cell r="H292" t="str">
            <v>-</v>
          </cell>
          <cell r="I292" t="str">
            <v>The City Academy, Hackney</v>
          </cell>
          <cell r="J292" t="str">
            <v>Southern</v>
          </cell>
          <cell r="K292">
            <v>0</v>
          </cell>
          <cell r="L292" t="str">
            <v>BDO</v>
          </cell>
        </row>
        <row r="293">
          <cell r="F293">
            <v>2106905</v>
          </cell>
          <cell r="G293" t="str">
            <v>Individual</v>
          </cell>
          <cell r="H293" t="str">
            <v>-</v>
          </cell>
          <cell r="I293" t="str">
            <v>The City of London Academy, Southwark</v>
          </cell>
          <cell r="J293" t="str">
            <v>Southern</v>
          </cell>
          <cell r="K293">
            <v>0</v>
          </cell>
          <cell r="L293" t="str">
            <v>BDO</v>
          </cell>
        </row>
        <row r="294">
          <cell r="F294">
            <v>3024215</v>
          </cell>
          <cell r="G294" t="str">
            <v>Individual</v>
          </cell>
          <cell r="H294" t="str">
            <v>-</v>
          </cell>
          <cell r="I294" t="str">
            <v>The Compton School</v>
          </cell>
          <cell r="J294" t="str">
            <v>Southern</v>
          </cell>
          <cell r="K294">
            <v>0</v>
          </cell>
          <cell r="L294" t="str">
            <v>BDO</v>
          </cell>
        </row>
        <row r="295">
          <cell r="F295">
            <v>8616905</v>
          </cell>
          <cell r="G295" t="str">
            <v>Individual</v>
          </cell>
          <cell r="H295" t="str">
            <v>-</v>
          </cell>
          <cell r="I295" t="str">
            <v>The Co-operative Academy of Brownhills</v>
          </cell>
          <cell r="J295" t="str">
            <v>Western</v>
          </cell>
          <cell r="K295">
            <v>0</v>
          </cell>
          <cell r="L295" t="str">
            <v>BDO</v>
          </cell>
        </row>
        <row r="296">
          <cell r="F296">
            <v>3526914</v>
          </cell>
          <cell r="G296" t="str">
            <v xml:space="preserve">Individual </v>
          </cell>
          <cell r="H296" t="str">
            <v>-</v>
          </cell>
          <cell r="I296" t="str">
            <v>The Co-operative Academy of Manchester</v>
          </cell>
          <cell r="J296" t="str">
            <v>Northern</v>
          </cell>
          <cell r="K296">
            <v>0</v>
          </cell>
          <cell r="L296" t="str">
            <v>BDO</v>
          </cell>
        </row>
        <row r="297">
          <cell r="F297">
            <v>9286906</v>
          </cell>
          <cell r="G297">
            <v>0</v>
          </cell>
          <cell r="H297" t="str">
            <v>-</v>
          </cell>
          <cell r="I297" t="str">
            <v>The Corby Business Academy</v>
          </cell>
          <cell r="J297" t="str">
            <v>Eastern</v>
          </cell>
          <cell r="K297">
            <v>0</v>
          </cell>
          <cell r="L297" t="str">
            <v>BDO</v>
          </cell>
        </row>
        <row r="298">
          <cell r="F298">
            <v>9165410</v>
          </cell>
          <cell r="G298" t="str">
            <v>Individual</v>
          </cell>
          <cell r="H298" t="str">
            <v>-</v>
          </cell>
          <cell r="I298" t="str">
            <v>The Cotswold School</v>
          </cell>
          <cell r="J298" t="str">
            <v>Western</v>
          </cell>
          <cell r="K298">
            <v>0</v>
          </cell>
          <cell r="L298" t="str">
            <v>BDO</v>
          </cell>
        </row>
        <row r="299">
          <cell r="F299">
            <v>9165404</v>
          </cell>
          <cell r="G299" t="str">
            <v>Individual</v>
          </cell>
          <cell r="H299" t="str">
            <v>-</v>
          </cell>
          <cell r="I299" t="str">
            <v>The Crypt School</v>
          </cell>
          <cell r="J299" t="str">
            <v>Western</v>
          </cell>
          <cell r="K299">
            <v>0</v>
          </cell>
          <cell r="L299" t="str">
            <v>BDO</v>
          </cell>
        </row>
        <row r="300">
          <cell r="F300">
            <v>8604176</v>
          </cell>
          <cell r="G300" t="str">
            <v>Individual</v>
          </cell>
          <cell r="H300" t="str">
            <v>-</v>
          </cell>
          <cell r="I300" t="str">
            <v>The de Ferrers Academy</v>
          </cell>
          <cell r="J300" t="str">
            <v>Western</v>
          </cell>
          <cell r="K300">
            <v>0</v>
          </cell>
          <cell r="L300" t="str">
            <v>BDO</v>
          </cell>
        </row>
        <row r="301">
          <cell r="F301">
            <v>3414797</v>
          </cell>
          <cell r="G301" t="str">
            <v xml:space="preserve">Individual </v>
          </cell>
          <cell r="H301" t="str">
            <v>-</v>
          </cell>
          <cell r="I301" t="str">
            <v>The De La Salle Academy</v>
          </cell>
          <cell r="J301" t="str">
            <v>Northern</v>
          </cell>
          <cell r="K301">
            <v>0</v>
          </cell>
          <cell r="L301" t="str">
            <v>BDO</v>
          </cell>
        </row>
        <row r="302">
          <cell r="F302">
            <v>3526912</v>
          </cell>
          <cell r="G302" t="str">
            <v xml:space="preserve">Individual </v>
          </cell>
          <cell r="H302" t="str">
            <v>-</v>
          </cell>
          <cell r="I302" t="str">
            <v>The East Manchester Academy</v>
          </cell>
          <cell r="J302" t="str">
            <v>Northern</v>
          </cell>
          <cell r="K302">
            <v>0</v>
          </cell>
          <cell r="L302" t="str">
            <v>BDO</v>
          </cell>
        </row>
        <row r="303">
          <cell r="F303">
            <v>8305401</v>
          </cell>
          <cell r="G303">
            <v>0</v>
          </cell>
          <cell r="H303" t="str">
            <v>-</v>
          </cell>
          <cell r="I303" t="str">
            <v>The Ecclesbourne School</v>
          </cell>
          <cell r="J303" t="str">
            <v>Eastern</v>
          </cell>
          <cell r="K303">
            <v>0</v>
          </cell>
          <cell r="L303" t="str">
            <v>BDO</v>
          </cell>
        </row>
        <row r="304">
          <cell r="F304">
            <v>8866908</v>
          </cell>
          <cell r="G304" t="str">
            <v>Individual</v>
          </cell>
          <cell r="H304" t="str">
            <v>-</v>
          </cell>
          <cell r="I304" t="str">
            <v>The Folkestone Academy</v>
          </cell>
          <cell r="J304" t="str">
            <v>Southern</v>
          </cell>
          <cell r="K304">
            <v>0</v>
          </cell>
          <cell r="L304" t="str">
            <v>BDO</v>
          </cell>
        </row>
        <row r="305">
          <cell r="F305">
            <v>9255423</v>
          </cell>
          <cell r="G305">
            <v>0</v>
          </cell>
          <cell r="H305" t="str">
            <v>-</v>
          </cell>
          <cell r="I305" t="str">
            <v>The Giles School</v>
          </cell>
          <cell r="J305" t="str">
            <v>Eastern</v>
          </cell>
          <cell r="K305">
            <v>0</v>
          </cell>
          <cell r="L305" t="str">
            <v>BDO</v>
          </cell>
        </row>
        <row r="306">
          <cell r="F306">
            <v>3812049</v>
          </cell>
          <cell r="G306" t="str">
            <v xml:space="preserve">Individual </v>
          </cell>
          <cell r="H306" t="str">
            <v>-</v>
          </cell>
          <cell r="I306" t="str">
            <v>The Greetland Academy</v>
          </cell>
          <cell r="J306" t="str">
            <v>Northern</v>
          </cell>
          <cell r="K306">
            <v>0</v>
          </cell>
          <cell r="L306" t="str">
            <v>BDO</v>
          </cell>
        </row>
        <row r="307">
          <cell r="F307">
            <v>8865455</v>
          </cell>
          <cell r="G307" t="str">
            <v>Individual</v>
          </cell>
          <cell r="H307" t="str">
            <v>-</v>
          </cell>
          <cell r="I307" t="str">
            <v>The Hayesbrook School</v>
          </cell>
          <cell r="J307" t="str">
            <v>Southern</v>
          </cell>
          <cell r="K307">
            <v>0</v>
          </cell>
          <cell r="L307" t="str">
            <v>BDO</v>
          </cell>
        </row>
        <row r="308">
          <cell r="F308">
            <v>8846905</v>
          </cell>
          <cell r="G308" t="str">
            <v>Individual</v>
          </cell>
          <cell r="H308" t="str">
            <v>-</v>
          </cell>
          <cell r="I308" t="str">
            <v>The Hereford Academy</v>
          </cell>
          <cell r="J308" t="str">
            <v>Western</v>
          </cell>
          <cell r="K308">
            <v>0</v>
          </cell>
          <cell r="L308" t="str">
            <v>BDO</v>
          </cell>
        </row>
        <row r="309">
          <cell r="F309">
            <v>8866915</v>
          </cell>
          <cell r="G309" t="str">
            <v>Individual</v>
          </cell>
          <cell r="H309" t="str">
            <v>-</v>
          </cell>
          <cell r="I309" t="str">
            <v>The Isle of Sheppey Academy</v>
          </cell>
          <cell r="J309" t="str">
            <v>Southern</v>
          </cell>
          <cell r="K309">
            <v>0</v>
          </cell>
          <cell r="L309" t="str">
            <v>BDO</v>
          </cell>
        </row>
        <row r="310">
          <cell r="F310">
            <v>8866919</v>
          </cell>
          <cell r="G310" t="str">
            <v>Individual</v>
          </cell>
          <cell r="H310" t="str">
            <v>-</v>
          </cell>
          <cell r="I310" t="str">
            <v>The John Wallis Church of England Academy</v>
          </cell>
          <cell r="J310" t="str">
            <v>Southern</v>
          </cell>
          <cell r="K310">
            <v>0</v>
          </cell>
          <cell r="L310" t="str">
            <v>BDO</v>
          </cell>
        </row>
        <row r="311">
          <cell r="F311">
            <v>8745404</v>
          </cell>
          <cell r="G311">
            <v>0</v>
          </cell>
          <cell r="H311" t="str">
            <v>-</v>
          </cell>
          <cell r="I311" t="str">
            <v>The King's School Peterborough</v>
          </cell>
          <cell r="J311" t="str">
            <v>Eastern</v>
          </cell>
          <cell r="K311">
            <v>0</v>
          </cell>
          <cell r="L311" t="str">
            <v>BDO</v>
          </cell>
        </row>
        <row r="312">
          <cell r="F312">
            <v>8304052</v>
          </cell>
          <cell r="G312">
            <v>0</v>
          </cell>
          <cell r="H312" t="str">
            <v>-</v>
          </cell>
          <cell r="I312" t="str">
            <v>The Long Eaton School</v>
          </cell>
          <cell r="J312" t="str">
            <v>Eastern</v>
          </cell>
          <cell r="K312">
            <v>0</v>
          </cell>
          <cell r="L312" t="str">
            <v>BDO</v>
          </cell>
        </row>
        <row r="313">
          <cell r="F313">
            <v>8266905</v>
          </cell>
          <cell r="G313" t="str">
            <v>Individual</v>
          </cell>
          <cell r="H313" t="str">
            <v>-</v>
          </cell>
          <cell r="I313" t="str">
            <v>The Milton Keynes Academy</v>
          </cell>
          <cell r="J313" t="str">
            <v>Southern</v>
          </cell>
          <cell r="K313">
            <v>0</v>
          </cell>
          <cell r="L313" t="str">
            <v>BDO</v>
          </cell>
        </row>
        <row r="314">
          <cell r="F314">
            <v>3824040</v>
          </cell>
          <cell r="G314" t="str">
            <v xml:space="preserve">Individual </v>
          </cell>
          <cell r="H314" t="str">
            <v>-</v>
          </cell>
          <cell r="I314" t="str">
            <v>The Mirfield Free Grammar and Sixth Form</v>
          </cell>
          <cell r="J314" t="str">
            <v>Northern</v>
          </cell>
          <cell r="K314">
            <v>0</v>
          </cell>
          <cell r="L314" t="str">
            <v>BDO</v>
          </cell>
        </row>
        <row r="315">
          <cell r="F315">
            <v>8834299</v>
          </cell>
          <cell r="G315">
            <v>0</v>
          </cell>
          <cell r="H315" t="str">
            <v>-</v>
          </cell>
          <cell r="I315" t="str">
            <v>The Ockendon School</v>
          </cell>
          <cell r="J315" t="str">
            <v>Eastern</v>
          </cell>
          <cell r="K315">
            <v>0</v>
          </cell>
          <cell r="L315" t="str">
            <v>BDO</v>
          </cell>
        </row>
        <row r="316">
          <cell r="F316">
            <v>9316906</v>
          </cell>
          <cell r="G316" t="str">
            <v>Individual</v>
          </cell>
          <cell r="H316" t="str">
            <v>-</v>
          </cell>
          <cell r="I316" t="str">
            <v>The Oxford Academy</v>
          </cell>
          <cell r="J316" t="str">
            <v>Southern</v>
          </cell>
          <cell r="K316">
            <v>0</v>
          </cell>
          <cell r="L316" t="str">
            <v>BDO</v>
          </cell>
        </row>
        <row r="317">
          <cell r="F317">
            <v>2046906</v>
          </cell>
          <cell r="G317" t="str">
            <v>Individual</v>
          </cell>
          <cell r="H317" t="str">
            <v>-</v>
          </cell>
          <cell r="I317" t="str">
            <v>The Petchey Academy</v>
          </cell>
          <cell r="J317" t="str">
            <v>Southern</v>
          </cell>
          <cell r="K317">
            <v>0</v>
          </cell>
          <cell r="L317" t="str">
            <v>BDO</v>
          </cell>
        </row>
        <row r="318">
          <cell r="F318">
            <v>9374112</v>
          </cell>
          <cell r="G318" t="str">
            <v>Individual</v>
          </cell>
          <cell r="H318" t="str">
            <v>-</v>
          </cell>
          <cell r="I318" t="str">
            <v>The Polesworth School - A Specialist Language College</v>
          </cell>
          <cell r="J318" t="str">
            <v>Western</v>
          </cell>
          <cell r="K318">
            <v>0</v>
          </cell>
          <cell r="L318" t="str">
            <v>BDO</v>
          </cell>
        </row>
        <row r="319">
          <cell r="F319">
            <v>8262133</v>
          </cell>
          <cell r="G319" t="str">
            <v>Individual</v>
          </cell>
          <cell r="H319" t="str">
            <v>-</v>
          </cell>
          <cell r="I319" t="str">
            <v>The Premier Academy</v>
          </cell>
          <cell r="J319" t="str">
            <v>Southern</v>
          </cell>
          <cell r="K319">
            <v>0</v>
          </cell>
          <cell r="L319" t="str">
            <v>BDO</v>
          </cell>
        </row>
        <row r="320">
          <cell r="F320">
            <v>8505201</v>
          </cell>
          <cell r="G320" t="str">
            <v>Individual</v>
          </cell>
          <cell r="H320" t="str">
            <v>-</v>
          </cell>
          <cell r="I320" t="str">
            <v>The Priory Primary School</v>
          </cell>
          <cell r="J320" t="str">
            <v>Southern</v>
          </cell>
          <cell r="K320">
            <v>0</v>
          </cell>
          <cell r="L320" t="str">
            <v>BDO</v>
          </cell>
        </row>
        <row r="321">
          <cell r="F321">
            <v>9095404</v>
          </cell>
          <cell r="G321" t="str">
            <v xml:space="preserve">Individual </v>
          </cell>
          <cell r="H321" t="str">
            <v>-</v>
          </cell>
          <cell r="I321" t="str">
            <v>The Queen Katherine School</v>
          </cell>
          <cell r="J321" t="str">
            <v>Northern</v>
          </cell>
          <cell r="K321">
            <v>0</v>
          </cell>
          <cell r="L321" t="str">
            <v>BDO</v>
          </cell>
        </row>
        <row r="322">
          <cell r="F322">
            <v>3066910</v>
          </cell>
          <cell r="G322" t="str">
            <v>Individual</v>
          </cell>
          <cell r="H322" t="str">
            <v>-</v>
          </cell>
          <cell r="I322" t="str">
            <v>The Quest Academy</v>
          </cell>
          <cell r="J322" t="str">
            <v>Southern</v>
          </cell>
          <cell r="K322">
            <v>0</v>
          </cell>
          <cell r="L322" t="str">
            <v>BDO</v>
          </cell>
        </row>
        <row r="323">
          <cell r="F323">
            <v>8815263</v>
          </cell>
          <cell r="G323">
            <v>0</v>
          </cell>
          <cell r="H323" t="str">
            <v>-</v>
          </cell>
          <cell r="I323" t="str">
            <v>The RA Butler Infant School</v>
          </cell>
          <cell r="J323" t="str">
            <v>Eastern</v>
          </cell>
          <cell r="K323">
            <v>0</v>
          </cell>
          <cell r="L323" t="str">
            <v>BDO</v>
          </cell>
        </row>
        <row r="324">
          <cell r="F324">
            <v>8815264</v>
          </cell>
          <cell r="G324">
            <v>0</v>
          </cell>
          <cell r="H324" t="str">
            <v>-</v>
          </cell>
          <cell r="I324" t="str">
            <v>The RA Butler Junior School</v>
          </cell>
          <cell r="J324" t="str">
            <v>Eastern</v>
          </cell>
          <cell r="K324">
            <v>0</v>
          </cell>
          <cell r="L324" t="str">
            <v>BDO</v>
          </cell>
        </row>
        <row r="325">
          <cell r="F325">
            <v>8875445</v>
          </cell>
          <cell r="G325" t="str">
            <v>Individual</v>
          </cell>
          <cell r="H325" t="str">
            <v>-</v>
          </cell>
          <cell r="I325" t="str">
            <v>The Rochester Grammar School</v>
          </cell>
          <cell r="J325" t="str">
            <v>Southern</v>
          </cell>
          <cell r="K325">
            <v>0</v>
          </cell>
          <cell r="L325" t="str">
            <v>BDO</v>
          </cell>
        </row>
        <row r="326">
          <cell r="F326">
            <v>8255404</v>
          </cell>
          <cell r="G326" t="str">
            <v>Individual</v>
          </cell>
          <cell r="H326" t="str">
            <v>-</v>
          </cell>
          <cell r="I326" t="str">
            <v>The Royal Grammar School, High Wycombe</v>
          </cell>
          <cell r="J326" t="str">
            <v>Southern</v>
          </cell>
          <cell r="K326">
            <v>0</v>
          </cell>
          <cell r="L326" t="str">
            <v>BDO</v>
          </cell>
        </row>
        <row r="327">
          <cell r="F327">
            <v>3336909</v>
          </cell>
          <cell r="G327" t="str">
            <v>Individual</v>
          </cell>
          <cell r="H327" t="str">
            <v>-</v>
          </cell>
          <cell r="I327" t="str">
            <v>The RSA Academy, Tipton</v>
          </cell>
          <cell r="J327" t="str">
            <v>Western</v>
          </cell>
          <cell r="K327">
            <v>0</v>
          </cell>
          <cell r="L327" t="str">
            <v>BDO</v>
          </cell>
        </row>
        <row r="328">
          <cell r="F328">
            <v>8136905</v>
          </cell>
          <cell r="G328" t="str">
            <v xml:space="preserve">Individual </v>
          </cell>
          <cell r="H328" t="str">
            <v>-</v>
          </cell>
          <cell r="I328" t="str">
            <v>The St Lawrence Academy</v>
          </cell>
          <cell r="J328" t="str">
            <v>Northern</v>
          </cell>
          <cell r="K328">
            <v>0</v>
          </cell>
          <cell r="L328" t="str">
            <v>BDO</v>
          </cell>
        </row>
        <row r="329">
          <cell r="F329">
            <v>8846906</v>
          </cell>
          <cell r="G329" t="str">
            <v>Individual</v>
          </cell>
          <cell r="H329" t="str">
            <v>-</v>
          </cell>
          <cell r="I329" t="str">
            <v>The Steiner Academy Hereford</v>
          </cell>
          <cell r="J329" t="str">
            <v>Western</v>
          </cell>
          <cell r="K329">
            <v>0</v>
          </cell>
          <cell r="L329" t="str">
            <v>BDO</v>
          </cell>
        </row>
        <row r="330">
          <cell r="F330">
            <v>3426905</v>
          </cell>
          <cell r="G330" t="str">
            <v xml:space="preserve">Individual </v>
          </cell>
          <cell r="H330" t="str">
            <v>-</v>
          </cell>
          <cell r="I330" t="str">
            <v>The Sutton Academy</v>
          </cell>
          <cell r="J330" t="str">
            <v>Northern</v>
          </cell>
          <cell r="K330">
            <v>0</v>
          </cell>
          <cell r="L330" t="str">
            <v>BDO</v>
          </cell>
        </row>
        <row r="331">
          <cell r="F331">
            <v>9336905</v>
          </cell>
          <cell r="G331" t="str">
            <v>Individual</v>
          </cell>
          <cell r="H331" t="str">
            <v>-</v>
          </cell>
          <cell r="I331" t="str">
            <v>The Taunton Academy</v>
          </cell>
          <cell r="J331" t="str">
            <v>Western</v>
          </cell>
          <cell r="K331">
            <v>0</v>
          </cell>
          <cell r="L331" t="str">
            <v>BDO</v>
          </cell>
        </row>
        <row r="332">
          <cell r="F332">
            <v>9266910</v>
          </cell>
          <cell r="G332">
            <v>0</v>
          </cell>
          <cell r="H332" t="str">
            <v>-</v>
          </cell>
          <cell r="I332" t="str">
            <v>The Thetford Academy</v>
          </cell>
          <cell r="J332" t="str">
            <v>Eastern</v>
          </cell>
          <cell r="K332">
            <v>0</v>
          </cell>
          <cell r="L332" t="str">
            <v>BDO</v>
          </cell>
        </row>
        <row r="333">
          <cell r="F333">
            <v>3144010</v>
          </cell>
          <cell r="G333" t="str">
            <v>Individual</v>
          </cell>
          <cell r="H333" t="str">
            <v>-</v>
          </cell>
          <cell r="I333" t="str">
            <v>The Tiffin Girls' School</v>
          </cell>
          <cell r="J333" t="str">
            <v>Southern</v>
          </cell>
          <cell r="K333">
            <v>0</v>
          </cell>
          <cell r="L333" t="str">
            <v>BDO</v>
          </cell>
        </row>
        <row r="334">
          <cell r="F334">
            <v>8966905</v>
          </cell>
          <cell r="G334" t="str">
            <v xml:space="preserve">Individual </v>
          </cell>
          <cell r="H334" t="str">
            <v>-</v>
          </cell>
          <cell r="I334" t="str">
            <v>The University of Chester Church of England Academy</v>
          </cell>
          <cell r="J334" t="str">
            <v>Northern</v>
          </cell>
          <cell r="K334">
            <v>0</v>
          </cell>
          <cell r="L334" t="str">
            <v>BDO</v>
          </cell>
        </row>
        <row r="335">
          <cell r="F335">
            <v>8656905</v>
          </cell>
          <cell r="G335" t="str">
            <v>Individual</v>
          </cell>
          <cell r="H335" t="str">
            <v>-</v>
          </cell>
          <cell r="I335" t="str">
            <v>The Wellington Academy</v>
          </cell>
          <cell r="J335" t="str">
            <v>Western</v>
          </cell>
          <cell r="K335">
            <v>0</v>
          </cell>
          <cell r="L335" t="str">
            <v>BDO</v>
          </cell>
        </row>
        <row r="336">
          <cell r="F336">
            <v>8914328</v>
          </cell>
          <cell r="G336">
            <v>0</v>
          </cell>
          <cell r="H336" t="str">
            <v>-</v>
          </cell>
          <cell r="I336" t="str">
            <v>The West Bridgford School</v>
          </cell>
          <cell r="J336" t="str">
            <v>Eastern</v>
          </cell>
          <cell r="K336">
            <v>0</v>
          </cell>
          <cell r="L336" t="str">
            <v>BDO</v>
          </cell>
        </row>
        <row r="337">
          <cell r="F337">
            <v>8825206</v>
          </cell>
          <cell r="G337">
            <v>0</v>
          </cell>
          <cell r="H337" t="str">
            <v>-</v>
          </cell>
          <cell r="I337" t="str">
            <v>The Westborough Primary Academy</v>
          </cell>
          <cell r="J337" t="str">
            <v>Eastern</v>
          </cell>
          <cell r="K337">
            <v>0</v>
          </cell>
          <cell r="L337" t="str">
            <v>BDO</v>
          </cell>
        </row>
        <row r="338">
          <cell r="F338">
            <v>8746905</v>
          </cell>
          <cell r="G338">
            <v>0</v>
          </cell>
          <cell r="H338" t="str">
            <v>-</v>
          </cell>
          <cell r="I338" t="str">
            <v>Thomas Deacon Academy</v>
          </cell>
          <cell r="J338" t="str">
            <v>Eastern</v>
          </cell>
          <cell r="K338">
            <v>0</v>
          </cell>
          <cell r="L338" t="str">
            <v>BDO</v>
          </cell>
        </row>
        <row r="339">
          <cell r="F339">
            <v>8946900</v>
          </cell>
          <cell r="G339" t="str">
            <v>Individual</v>
          </cell>
          <cell r="H339" t="str">
            <v>-</v>
          </cell>
          <cell r="I339" t="str">
            <v>Thomas Telford School (CTC)</v>
          </cell>
          <cell r="J339" t="str">
            <v>Western</v>
          </cell>
          <cell r="K339">
            <v>0</v>
          </cell>
          <cell r="L339" t="str">
            <v>BDO</v>
          </cell>
        </row>
        <row r="340">
          <cell r="F340">
            <v>8086905</v>
          </cell>
          <cell r="G340" t="str">
            <v xml:space="preserve">Individual </v>
          </cell>
          <cell r="H340" t="str">
            <v>-</v>
          </cell>
          <cell r="I340" t="str">
            <v>Thornaby Academy</v>
          </cell>
          <cell r="J340" t="str">
            <v>Northern</v>
          </cell>
          <cell r="K340">
            <v>0</v>
          </cell>
          <cell r="L340" t="str">
            <v>BDO</v>
          </cell>
        </row>
        <row r="341">
          <cell r="F341">
            <v>8124078</v>
          </cell>
          <cell r="G341" t="str">
            <v xml:space="preserve">Individual </v>
          </cell>
          <cell r="H341" t="str">
            <v>-</v>
          </cell>
          <cell r="I341" t="str">
            <v>Tollbar Academy</v>
          </cell>
          <cell r="J341" t="str">
            <v>Northern</v>
          </cell>
          <cell r="K341">
            <v>0</v>
          </cell>
          <cell r="L341" t="str">
            <v>BDO</v>
          </cell>
        </row>
        <row r="342">
          <cell r="F342">
            <v>8865443</v>
          </cell>
          <cell r="G342" t="str">
            <v>Individual</v>
          </cell>
          <cell r="H342" t="str">
            <v>-</v>
          </cell>
          <cell r="I342" t="str">
            <v>Tonbridge Grammar School</v>
          </cell>
          <cell r="J342" t="str">
            <v>Southern</v>
          </cell>
          <cell r="K342">
            <v>0</v>
          </cell>
          <cell r="L342" t="str">
            <v>BDO</v>
          </cell>
        </row>
        <row r="343">
          <cell r="F343">
            <v>8805401</v>
          </cell>
          <cell r="G343" t="str">
            <v>Individual</v>
          </cell>
          <cell r="H343" t="str">
            <v>-</v>
          </cell>
          <cell r="I343" t="str">
            <v xml:space="preserve">Torquay Boys' Grammar School   </v>
          </cell>
          <cell r="J343" t="str">
            <v>Western</v>
          </cell>
          <cell r="K343">
            <v>0</v>
          </cell>
          <cell r="L343" t="str">
            <v>BDO</v>
          </cell>
        </row>
        <row r="344">
          <cell r="F344">
            <v>8804114</v>
          </cell>
          <cell r="G344" t="str">
            <v>Individual</v>
          </cell>
          <cell r="H344" t="str">
            <v>-</v>
          </cell>
          <cell r="I344" t="str">
            <v>Torquay Girls' Grammar School</v>
          </cell>
          <cell r="J344" t="str">
            <v>Western</v>
          </cell>
          <cell r="K344">
            <v>0</v>
          </cell>
          <cell r="L344" t="str">
            <v>BDO</v>
          </cell>
        </row>
        <row r="345">
          <cell r="F345">
            <v>9082409</v>
          </cell>
          <cell r="G345" t="str">
            <v>Individual</v>
          </cell>
          <cell r="H345" t="str">
            <v>-</v>
          </cell>
          <cell r="I345" t="str">
            <v xml:space="preserve">Trenance Infant School </v>
          </cell>
          <cell r="J345" t="str">
            <v>Western</v>
          </cell>
          <cell r="K345">
            <v>0</v>
          </cell>
          <cell r="L345" t="str">
            <v>BDO</v>
          </cell>
        </row>
        <row r="346">
          <cell r="F346">
            <v>9082743</v>
          </cell>
          <cell r="G346" t="str">
            <v>Individual</v>
          </cell>
          <cell r="H346" t="str">
            <v>-</v>
          </cell>
          <cell r="I346" t="str">
            <v>Trevithick Learning Academy</v>
          </cell>
          <cell r="J346" t="str">
            <v>Western</v>
          </cell>
          <cell r="K346">
            <v>0</v>
          </cell>
          <cell r="L346" t="str">
            <v>BDO</v>
          </cell>
        </row>
        <row r="347">
          <cell r="F347">
            <v>3716905</v>
          </cell>
          <cell r="G347" t="str">
            <v>Individual</v>
          </cell>
          <cell r="H347" t="str">
            <v>-</v>
          </cell>
          <cell r="I347" t="str">
            <v>Trinity Academy</v>
          </cell>
          <cell r="J347" t="str">
            <v>Southern</v>
          </cell>
          <cell r="K347">
            <v>0</v>
          </cell>
          <cell r="L347" t="str">
            <v>BDO</v>
          </cell>
        </row>
        <row r="348">
          <cell r="F348">
            <v>3816905</v>
          </cell>
          <cell r="G348" t="str">
            <v xml:space="preserve">Individual </v>
          </cell>
          <cell r="H348" t="str">
            <v>-</v>
          </cell>
          <cell r="I348" t="str">
            <v>Trinity Academy Halifax</v>
          </cell>
          <cell r="J348" t="str">
            <v>Northern</v>
          </cell>
          <cell r="K348">
            <v>0</v>
          </cell>
          <cell r="L348" t="str">
            <v>BDO</v>
          </cell>
        </row>
        <row r="349">
          <cell r="F349">
            <v>8856905</v>
          </cell>
          <cell r="G349" t="str">
            <v>Individual</v>
          </cell>
          <cell r="H349" t="str">
            <v>-</v>
          </cell>
          <cell r="I349" t="str">
            <v>Tudor Grange Academy Worcester</v>
          </cell>
          <cell r="J349" t="str">
            <v>Western</v>
          </cell>
          <cell r="K349">
            <v>0</v>
          </cell>
          <cell r="L349" t="str">
            <v>BDO</v>
          </cell>
        </row>
        <row r="350">
          <cell r="F350">
            <v>3344014</v>
          </cell>
          <cell r="G350" t="str">
            <v>Individual</v>
          </cell>
          <cell r="H350" t="str">
            <v>-</v>
          </cell>
          <cell r="I350" t="str">
            <v>Tudor Grange School</v>
          </cell>
          <cell r="J350" t="str">
            <v>Western</v>
          </cell>
          <cell r="K350">
            <v>0</v>
          </cell>
          <cell r="L350" t="str">
            <v>BDO</v>
          </cell>
        </row>
        <row r="351">
          <cell r="F351">
            <v>8785405</v>
          </cell>
          <cell r="G351" t="str">
            <v>Individual</v>
          </cell>
          <cell r="H351" t="str">
            <v>-</v>
          </cell>
          <cell r="I351" t="str">
            <v>Uffculme School</v>
          </cell>
          <cell r="J351" t="str">
            <v>Western</v>
          </cell>
          <cell r="K351">
            <v>0</v>
          </cell>
          <cell r="L351" t="str">
            <v>BDO</v>
          </cell>
        </row>
        <row r="352">
          <cell r="F352">
            <v>8066905</v>
          </cell>
          <cell r="G352" t="str">
            <v xml:space="preserve">Individual </v>
          </cell>
          <cell r="H352" t="str">
            <v>-</v>
          </cell>
          <cell r="I352" t="str">
            <v>Unity City Academy</v>
          </cell>
          <cell r="J352" t="str">
            <v>Northern</v>
          </cell>
          <cell r="K352">
            <v>0</v>
          </cell>
          <cell r="L352" t="str">
            <v>BDO</v>
          </cell>
        </row>
        <row r="353">
          <cell r="F353">
            <v>3806909</v>
          </cell>
          <cell r="G353" t="str">
            <v xml:space="preserve">Individual </v>
          </cell>
          <cell r="H353" t="str">
            <v>-</v>
          </cell>
          <cell r="I353" t="str">
            <v>University Academy Keighley</v>
          </cell>
          <cell r="J353" t="str">
            <v>Northern</v>
          </cell>
          <cell r="K353">
            <v>0</v>
          </cell>
          <cell r="L353" t="str">
            <v>BDO</v>
          </cell>
        </row>
        <row r="354">
          <cell r="F354">
            <v>3444798</v>
          </cell>
          <cell r="G354" t="str">
            <v xml:space="preserve">Individual </v>
          </cell>
          <cell r="H354" t="str">
            <v>-</v>
          </cell>
          <cell r="I354" t="str">
            <v>University Academy of Birkenhead</v>
          </cell>
          <cell r="J354" t="str">
            <v>Northern</v>
          </cell>
          <cell r="K354">
            <v>0</v>
          </cell>
          <cell r="L354" t="str">
            <v>BDO</v>
          </cell>
        </row>
        <row r="355">
          <cell r="F355">
            <v>3585405</v>
          </cell>
          <cell r="G355" t="str">
            <v xml:space="preserve">Individual </v>
          </cell>
          <cell r="H355" t="str">
            <v>-</v>
          </cell>
          <cell r="I355" t="str">
            <v>Urmston Grammar Academy</v>
          </cell>
          <cell r="J355" t="str">
            <v>Northern</v>
          </cell>
          <cell r="K355">
            <v>0</v>
          </cell>
          <cell r="L355" t="str">
            <v>BDO</v>
          </cell>
        </row>
        <row r="356">
          <cell r="F356">
            <v>3844009</v>
          </cell>
          <cell r="G356" t="str">
            <v xml:space="preserve">Individual </v>
          </cell>
          <cell r="H356" t="str">
            <v>-</v>
          </cell>
          <cell r="I356" t="str">
            <v>Wakefield City Academy</v>
          </cell>
          <cell r="J356" t="str">
            <v>Northern</v>
          </cell>
          <cell r="K356">
            <v>0</v>
          </cell>
          <cell r="L356" t="str">
            <v>BDO</v>
          </cell>
        </row>
        <row r="357">
          <cell r="F357">
            <v>3724025</v>
          </cell>
          <cell r="G357" t="str">
            <v xml:space="preserve">Individual </v>
          </cell>
          <cell r="H357" t="str">
            <v>-</v>
          </cell>
          <cell r="I357" t="str">
            <v>Wales High School</v>
          </cell>
          <cell r="J357" t="str">
            <v>Northern</v>
          </cell>
          <cell r="K357">
            <v>0</v>
          </cell>
          <cell r="L357" t="str">
            <v>BDO</v>
          </cell>
        </row>
        <row r="358">
          <cell r="F358">
            <v>3356905</v>
          </cell>
          <cell r="G358" t="str">
            <v>Individual</v>
          </cell>
          <cell r="H358" t="str">
            <v>-</v>
          </cell>
          <cell r="I358" t="str">
            <v>Walsall Academy</v>
          </cell>
          <cell r="J358" t="str">
            <v>Western</v>
          </cell>
          <cell r="K358">
            <v>0</v>
          </cell>
          <cell r="L358" t="str">
            <v>BDO</v>
          </cell>
        </row>
        <row r="359">
          <cell r="F359">
            <v>3536907</v>
          </cell>
          <cell r="G359" t="str">
            <v xml:space="preserve">Individual </v>
          </cell>
          <cell r="H359" t="str">
            <v>-</v>
          </cell>
          <cell r="I359" t="str">
            <v>Waterhead Academy</v>
          </cell>
          <cell r="J359" t="str">
            <v>Northern</v>
          </cell>
          <cell r="K359">
            <v>0</v>
          </cell>
          <cell r="L359" t="str">
            <v>BDO</v>
          </cell>
        </row>
        <row r="360">
          <cell r="F360">
            <v>9195401</v>
          </cell>
          <cell r="G360">
            <v>0</v>
          </cell>
          <cell r="H360" t="str">
            <v>-</v>
          </cell>
          <cell r="I360" t="str">
            <v>Watford Grammar School for Boys</v>
          </cell>
          <cell r="J360" t="str">
            <v>Eastern</v>
          </cell>
          <cell r="K360">
            <v>0</v>
          </cell>
          <cell r="L360" t="str">
            <v>BDO</v>
          </cell>
        </row>
        <row r="361">
          <cell r="F361">
            <v>9195403</v>
          </cell>
          <cell r="G361">
            <v>0</v>
          </cell>
          <cell r="H361" t="str">
            <v>-</v>
          </cell>
          <cell r="I361" t="str">
            <v>Watford Grammar School for Girls</v>
          </cell>
          <cell r="J361" t="str">
            <v>Eastern</v>
          </cell>
          <cell r="K361">
            <v>0</v>
          </cell>
          <cell r="L361" t="str">
            <v>BDO</v>
          </cell>
        </row>
        <row r="362">
          <cell r="F362">
            <v>8864046</v>
          </cell>
          <cell r="G362" t="str">
            <v>Individual</v>
          </cell>
          <cell r="H362" t="str">
            <v>-</v>
          </cell>
          <cell r="I362" t="str">
            <v>Weald of Kent Grammar School</v>
          </cell>
          <cell r="J362" t="str">
            <v>Southern</v>
          </cell>
          <cell r="K362">
            <v>0</v>
          </cell>
          <cell r="L362" t="str">
            <v>BDO</v>
          </cell>
        </row>
        <row r="363">
          <cell r="F363">
            <v>3584016</v>
          </cell>
          <cell r="G363" t="str">
            <v xml:space="preserve">Individual </v>
          </cell>
          <cell r="H363" t="str">
            <v>-</v>
          </cell>
          <cell r="I363" t="str">
            <v>Wellacre Technology College</v>
          </cell>
          <cell r="J363" t="str">
            <v>Northern</v>
          </cell>
          <cell r="K363">
            <v>0</v>
          </cell>
          <cell r="L363" t="str">
            <v>BDO</v>
          </cell>
        </row>
        <row r="364">
          <cell r="F364">
            <v>3585400</v>
          </cell>
          <cell r="G364" t="str">
            <v xml:space="preserve">Individual </v>
          </cell>
          <cell r="H364" t="str">
            <v>-</v>
          </cell>
          <cell r="I364" t="str">
            <v>Wellington School</v>
          </cell>
          <cell r="J364" t="str">
            <v>Northern</v>
          </cell>
          <cell r="K364">
            <v>0</v>
          </cell>
          <cell r="L364" t="str">
            <v>BDO</v>
          </cell>
        </row>
        <row r="365">
          <cell r="F365">
            <v>9096907</v>
          </cell>
          <cell r="G365" t="str">
            <v xml:space="preserve">Individual </v>
          </cell>
          <cell r="H365" t="str">
            <v>-</v>
          </cell>
          <cell r="I365" t="str">
            <v>West Lakes Academy</v>
          </cell>
          <cell r="J365" t="str">
            <v>Northern</v>
          </cell>
          <cell r="K365">
            <v>0</v>
          </cell>
          <cell r="L365" t="str">
            <v>BDO</v>
          </cell>
        </row>
        <row r="366">
          <cell r="F366">
            <v>3076905</v>
          </cell>
          <cell r="G366" t="str">
            <v>Individual</v>
          </cell>
          <cell r="H366" t="str">
            <v>-</v>
          </cell>
          <cell r="I366" t="str">
            <v>West London Academy</v>
          </cell>
          <cell r="J366" t="str">
            <v>Southern</v>
          </cell>
          <cell r="K366">
            <v>0</v>
          </cell>
          <cell r="L366" t="str">
            <v>BDO</v>
          </cell>
        </row>
        <row r="367">
          <cell r="F367">
            <v>8315412</v>
          </cell>
          <cell r="G367">
            <v>0</v>
          </cell>
          <cell r="H367" t="str">
            <v>-</v>
          </cell>
          <cell r="I367" t="str">
            <v>West Park School</v>
          </cell>
          <cell r="J367" t="str">
            <v>Eastern</v>
          </cell>
          <cell r="K367">
            <v>0</v>
          </cell>
          <cell r="L367" t="str">
            <v>BDO</v>
          </cell>
        </row>
        <row r="368">
          <cell r="F368">
            <v>8825401</v>
          </cell>
          <cell r="G368">
            <v>0</v>
          </cell>
          <cell r="H368" t="str">
            <v>-</v>
          </cell>
          <cell r="I368" t="str">
            <v>Westcliff High School for Boys Academy</v>
          </cell>
          <cell r="J368" t="str">
            <v>Eastern</v>
          </cell>
          <cell r="K368">
            <v>0</v>
          </cell>
          <cell r="L368" t="str">
            <v>BDO</v>
          </cell>
        </row>
        <row r="369">
          <cell r="F369">
            <v>8825423</v>
          </cell>
          <cell r="G369">
            <v>0</v>
          </cell>
          <cell r="H369" t="str">
            <v>-</v>
          </cell>
          <cell r="I369" t="str">
            <v>Westcliff High School for Girls</v>
          </cell>
          <cell r="J369" t="str">
            <v>Eastern</v>
          </cell>
          <cell r="K369">
            <v>0</v>
          </cell>
          <cell r="L369" t="str">
            <v>BDO</v>
          </cell>
        </row>
        <row r="370">
          <cell r="F370">
            <v>2136906</v>
          </cell>
          <cell r="G370" t="str">
            <v>Individual</v>
          </cell>
          <cell r="H370" t="str">
            <v>-</v>
          </cell>
          <cell r="I370" t="str">
            <v>Westminster Academy</v>
          </cell>
          <cell r="J370" t="str">
            <v>Southern</v>
          </cell>
          <cell r="K370">
            <v>0</v>
          </cell>
          <cell r="L370" t="str">
            <v>BDO</v>
          </cell>
        </row>
        <row r="371">
          <cell r="F371">
            <v>3934605</v>
          </cell>
          <cell r="G371" t="str">
            <v xml:space="preserve">Individual </v>
          </cell>
          <cell r="H371" t="str">
            <v>-</v>
          </cell>
          <cell r="I371" t="str">
            <v>Whitburn Church of England Academy</v>
          </cell>
          <cell r="J371" t="str">
            <v>Northern</v>
          </cell>
          <cell r="K371">
            <v>0</v>
          </cell>
          <cell r="L371" t="str">
            <v>BDO</v>
          </cell>
        </row>
        <row r="372">
          <cell r="F372">
            <v>9255415</v>
          </cell>
          <cell r="G372">
            <v>0</v>
          </cell>
          <cell r="H372" t="str">
            <v>-</v>
          </cell>
          <cell r="I372" t="str">
            <v xml:space="preserve">William Farr Church of England Comprehensive School </v>
          </cell>
          <cell r="J372" t="str">
            <v>Eastern</v>
          </cell>
          <cell r="K372">
            <v>0</v>
          </cell>
          <cell r="L372" t="str">
            <v>BDO</v>
          </cell>
        </row>
        <row r="373">
          <cell r="F373">
            <v>3195400</v>
          </cell>
          <cell r="G373" t="str">
            <v>Individual</v>
          </cell>
          <cell r="H373" t="str">
            <v>-</v>
          </cell>
          <cell r="I373" t="str">
            <v>Wilson's School</v>
          </cell>
          <cell r="J373" t="str">
            <v>Southern</v>
          </cell>
          <cell r="K373">
            <v>0</v>
          </cell>
          <cell r="L373" t="str">
            <v>BDO</v>
          </cell>
        </row>
        <row r="374">
          <cell r="F374">
            <v>3325404</v>
          </cell>
          <cell r="G374" t="str">
            <v>Individual</v>
          </cell>
          <cell r="H374" t="str">
            <v>-</v>
          </cell>
          <cell r="I374" t="str">
            <v>Windsor High School and Sixth Form</v>
          </cell>
          <cell r="J374" t="str">
            <v>Western</v>
          </cell>
          <cell r="K374">
            <v>0</v>
          </cell>
          <cell r="L374" t="str">
            <v>BDO</v>
          </cell>
        </row>
        <row r="375">
          <cell r="F375">
            <v>3075200</v>
          </cell>
          <cell r="G375" t="str">
            <v>Individual</v>
          </cell>
          <cell r="H375" t="str">
            <v>-</v>
          </cell>
          <cell r="I375" t="str">
            <v>Wood End Junior School</v>
          </cell>
          <cell r="J375" t="str">
            <v>Southern</v>
          </cell>
          <cell r="K375">
            <v>0</v>
          </cell>
          <cell r="L375" t="str">
            <v>BDO</v>
          </cell>
        </row>
        <row r="376">
          <cell r="F376">
            <v>3026906</v>
          </cell>
          <cell r="G376" t="str">
            <v>Individual</v>
          </cell>
          <cell r="H376" t="str">
            <v>-</v>
          </cell>
          <cell r="I376" t="str">
            <v>Wren Academy</v>
          </cell>
          <cell r="J376" t="str">
            <v>Southern</v>
          </cell>
          <cell r="K376">
            <v>0</v>
          </cell>
          <cell r="L376" t="str">
            <v>BDO</v>
          </cell>
        </row>
        <row r="377">
          <cell r="F377">
            <v>9265400</v>
          </cell>
          <cell r="G377">
            <v>0</v>
          </cell>
          <cell r="H377" t="str">
            <v>-</v>
          </cell>
          <cell r="I377" t="str">
            <v>Wymondham College</v>
          </cell>
          <cell r="J377" t="str">
            <v>Eastern</v>
          </cell>
          <cell r="K377">
            <v>0</v>
          </cell>
          <cell r="L377" t="str">
            <v>BDO</v>
          </cell>
        </row>
        <row r="378">
          <cell r="F378">
            <v>3202007</v>
          </cell>
          <cell r="G378" t="str">
            <v>Individual</v>
          </cell>
          <cell r="H378" t="str">
            <v>-</v>
          </cell>
          <cell r="I378" t="str">
            <v>Yardley Primary School</v>
          </cell>
          <cell r="J378" t="str">
            <v>Southern</v>
          </cell>
          <cell r="K378">
            <v>0</v>
          </cell>
          <cell r="L378" t="str">
            <v>BDO</v>
          </cell>
        </row>
        <row r="379">
          <cell r="F379">
            <v>8225411</v>
          </cell>
          <cell r="G379">
            <v>0</v>
          </cell>
          <cell r="H379" t="str">
            <v>Academy Federation of North Bedfordshire Schools</v>
          </cell>
          <cell r="I379" t="str">
            <v>Harrold Priory Middle School</v>
          </cell>
          <cell r="J379" t="str">
            <v>Eastern</v>
          </cell>
          <cell r="K379">
            <v>0</v>
          </cell>
          <cell r="L379" t="str">
            <v>BDO</v>
          </cell>
        </row>
        <row r="380">
          <cell r="F380">
            <v>8225404</v>
          </cell>
          <cell r="G380">
            <v>0</v>
          </cell>
          <cell r="H380" t="str">
            <v>Academy Federation of North Bedfordshire Schools</v>
          </cell>
          <cell r="I380" t="str">
            <v>Lincroft Middle School</v>
          </cell>
          <cell r="J380" t="str">
            <v>Eastern</v>
          </cell>
          <cell r="K380">
            <v>0</v>
          </cell>
          <cell r="L380" t="str">
            <v>BDO</v>
          </cell>
        </row>
        <row r="381">
          <cell r="F381">
            <v>8224042</v>
          </cell>
          <cell r="G381">
            <v>0</v>
          </cell>
          <cell r="H381" t="str">
            <v>Academy Federation of North Bedfordshire Schools</v>
          </cell>
          <cell r="I381" t="str">
            <v>Margaret Beaufort Middle School and Arts College</v>
          </cell>
          <cell r="J381" t="str">
            <v>Eastern</v>
          </cell>
          <cell r="K381">
            <v>0</v>
          </cell>
          <cell r="L381" t="str">
            <v>BDO</v>
          </cell>
        </row>
        <row r="382">
          <cell r="F382">
            <v>8225402</v>
          </cell>
          <cell r="G382">
            <v>0</v>
          </cell>
          <cell r="H382" t="str">
            <v>Academy Federation of North Bedfordshire Schools</v>
          </cell>
          <cell r="I382" t="str">
            <v>Sharnbrook Upper School
(in federation with Lincroft Middle School, Harrold Priory Middle School and Margaret Beaufort Middle School and Arts College)</v>
          </cell>
          <cell r="J382" t="str">
            <v>Eastern</v>
          </cell>
          <cell r="K382">
            <v>0</v>
          </cell>
          <cell r="L382" t="str">
            <v>BDO</v>
          </cell>
        </row>
        <row r="383">
          <cell r="F383">
            <v>8816910</v>
          </cell>
          <cell r="G383">
            <v>0</v>
          </cell>
          <cell r="H383" t="str">
            <v>AET</v>
          </cell>
          <cell r="I383" t="str">
            <v>Clacton Coastal Academy</v>
          </cell>
          <cell r="J383" t="str">
            <v>Eastern</v>
          </cell>
          <cell r="K383">
            <v>0</v>
          </cell>
          <cell r="L383" t="str">
            <v>BDO</v>
          </cell>
        </row>
        <row r="384">
          <cell r="F384">
            <v>8816906</v>
          </cell>
          <cell r="G384">
            <v>0</v>
          </cell>
          <cell r="H384" t="str">
            <v>AET</v>
          </cell>
          <cell r="I384" t="str">
            <v>Greensward Academy</v>
          </cell>
          <cell r="J384" t="str">
            <v>Eastern</v>
          </cell>
          <cell r="K384">
            <v>0</v>
          </cell>
          <cell r="L384" t="str">
            <v>BDO</v>
          </cell>
        </row>
        <row r="385">
          <cell r="F385">
            <v>8816907</v>
          </cell>
          <cell r="G385">
            <v>0</v>
          </cell>
          <cell r="H385" t="str">
            <v>AET</v>
          </cell>
          <cell r="I385" t="str">
            <v>Maltings Academy</v>
          </cell>
          <cell r="J385" t="str">
            <v>Eastern</v>
          </cell>
          <cell r="K385">
            <v>0</v>
          </cell>
          <cell r="L385" t="str">
            <v>BDO</v>
          </cell>
        </row>
        <row r="386">
          <cell r="F386">
            <v>8816905</v>
          </cell>
          <cell r="G386">
            <v>0</v>
          </cell>
          <cell r="H386" t="str">
            <v>AET</v>
          </cell>
          <cell r="I386" t="str">
            <v>New Rickstones Academy</v>
          </cell>
          <cell r="J386" t="str">
            <v>Eastern</v>
          </cell>
          <cell r="K386">
            <v>0</v>
          </cell>
          <cell r="L386" t="str">
            <v>BDO</v>
          </cell>
        </row>
        <row r="387">
          <cell r="F387">
            <v>3186907</v>
          </cell>
          <cell r="G387">
            <v>0</v>
          </cell>
          <cell r="H387" t="str">
            <v>AET</v>
          </cell>
          <cell r="I387" t="str">
            <v>Richmond Park Academy</v>
          </cell>
          <cell r="J387" t="str">
            <v>Eastern</v>
          </cell>
          <cell r="K387">
            <v>0</v>
          </cell>
          <cell r="L387" t="str">
            <v>BDO</v>
          </cell>
        </row>
        <row r="388">
          <cell r="F388">
            <v>3046906</v>
          </cell>
          <cell r="G388" t="str">
            <v>Federation</v>
          </cell>
          <cell r="H388" t="str">
            <v>ARK</v>
          </cell>
          <cell r="I388" t="str">
            <v>Ark Academy</v>
          </cell>
          <cell r="J388" t="str">
            <v>Southern</v>
          </cell>
          <cell r="K388">
            <v>0</v>
          </cell>
          <cell r="L388" t="str">
            <v>BDO</v>
          </cell>
        </row>
        <row r="389">
          <cell r="F389">
            <v>2056905</v>
          </cell>
          <cell r="G389" t="str">
            <v>Federation</v>
          </cell>
          <cell r="H389" t="str">
            <v>ARK</v>
          </cell>
          <cell r="I389" t="str">
            <v>Burlington Danes Academy</v>
          </cell>
          <cell r="J389" t="str">
            <v>Southern</v>
          </cell>
          <cell r="K389">
            <v>0</v>
          </cell>
          <cell r="L389" t="str">
            <v>BDO</v>
          </cell>
        </row>
        <row r="390">
          <cell r="F390">
            <v>8516905</v>
          </cell>
          <cell r="G390" t="str">
            <v>Federation</v>
          </cell>
          <cell r="H390" t="str">
            <v>ARK</v>
          </cell>
          <cell r="I390" t="str">
            <v>Charter Academy</v>
          </cell>
          <cell r="J390" t="str">
            <v>Southern</v>
          </cell>
          <cell r="K390">
            <v>0</v>
          </cell>
          <cell r="L390" t="str">
            <v>BDO</v>
          </cell>
        </row>
        <row r="391">
          <cell r="F391">
            <v>2086906</v>
          </cell>
          <cell r="G391" t="str">
            <v>Federation</v>
          </cell>
          <cell r="H391" t="str">
            <v>ARK</v>
          </cell>
          <cell r="I391" t="str">
            <v>Evelyn Grace Academy</v>
          </cell>
          <cell r="J391" t="str">
            <v>Southern</v>
          </cell>
          <cell r="K391">
            <v>0</v>
          </cell>
          <cell r="L391" t="str">
            <v>BDO</v>
          </cell>
        </row>
        <row r="392">
          <cell r="F392">
            <v>2106912</v>
          </cell>
          <cell r="G392" t="str">
            <v>Federation</v>
          </cell>
          <cell r="H392" t="str">
            <v>ARK</v>
          </cell>
          <cell r="I392" t="str">
            <v>Globe Academy</v>
          </cell>
          <cell r="J392" t="str">
            <v>Southern</v>
          </cell>
          <cell r="K392">
            <v>0</v>
          </cell>
          <cell r="L392" t="str">
            <v>BDO</v>
          </cell>
        </row>
        <row r="393">
          <cell r="F393">
            <v>2136907</v>
          </cell>
          <cell r="G393" t="str">
            <v>Federation</v>
          </cell>
          <cell r="H393" t="str">
            <v>ARK</v>
          </cell>
          <cell r="I393" t="str">
            <v>King Solomon Academy</v>
          </cell>
          <cell r="J393" t="str">
            <v>Southern</v>
          </cell>
          <cell r="K393">
            <v>0</v>
          </cell>
          <cell r="L393" t="str">
            <v>BDO</v>
          </cell>
        </row>
        <row r="394">
          <cell r="F394">
            <v>3306908</v>
          </cell>
          <cell r="G394" t="str">
            <v>Federation</v>
          </cell>
          <cell r="H394" t="str">
            <v>ARK</v>
          </cell>
          <cell r="I394" t="str">
            <v>St Alban's Academy</v>
          </cell>
          <cell r="J394" t="str">
            <v>Southern</v>
          </cell>
          <cell r="K394">
            <v>0</v>
          </cell>
          <cell r="L394" t="str">
            <v>BDO</v>
          </cell>
        </row>
        <row r="395">
          <cell r="F395">
            <v>2106909</v>
          </cell>
          <cell r="G395" t="str">
            <v>Federation</v>
          </cell>
          <cell r="H395" t="str">
            <v>ARK</v>
          </cell>
          <cell r="I395" t="str">
            <v>Walworth Academy</v>
          </cell>
          <cell r="J395" t="str">
            <v>Southern</v>
          </cell>
          <cell r="K395">
            <v>0</v>
          </cell>
          <cell r="L395" t="str">
            <v>BDO</v>
          </cell>
        </row>
        <row r="396">
          <cell r="F396">
            <v>8816908</v>
          </cell>
          <cell r="G396">
            <v>0</v>
          </cell>
          <cell r="H396" t="str">
            <v>Basildon Academy Trust</v>
          </cell>
          <cell r="I396" t="str">
            <v>The Basildon Lower Academy</v>
          </cell>
          <cell r="J396" t="str">
            <v>Eastern</v>
          </cell>
          <cell r="K396">
            <v>0</v>
          </cell>
          <cell r="L396" t="str">
            <v>BDO</v>
          </cell>
        </row>
        <row r="397">
          <cell r="F397">
            <v>8816909</v>
          </cell>
          <cell r="G397">
            <v>0</v>
          </cell>
          <cell r="H397" t="str">
            <v>Basildon Academy Trust</v>
          </cell>
          <cell r="I397" t="str">
            <v>The Basildon Upper Academy</v>
          </cell>
          <cell r="J397" t="str">
            <v>Eastern</v>
          </cell>
          <cell r="K397">
            <v>0</v>
          </cell>
          <cell r="L397" t="str">
            <v>BDO</v>
          </cell>
        </row>
        <row r="398">
          <cell r="F398">
            <v>3942083</v>
          </cell>
          <cell r="G398" t="str">
            <v>Federation</v>
          </cell>
          <cell r="H398" t="str">
            <v>Bexhill and Town End Academies Trust</v>
          </cell>
          <cell r="I398" t="str">
            <v>Bexhill Primary School</v>
          </cell>
          <cell r="J398" t="str">
            <v>Northern</v>
          </cell>
          <cell r="K398">
            <v>0</v>
          </cell>
          <cell r="L398" t="str">
            <v>BDO</v>
          </cell>
        </row>
        <row r="399">
          <cell r="F399">
            <v>3942081</v>
          </cell>
          <cell r="G399" t="str">
            <v>Federation</v>
          </cell>
          <cell r="H399" t="str">
            <v>Bexhill and Town End Academies Trust</v>
          </cell>
          <cell r="I399" t="str">
            <v xml:space="preserve">Town End Primary School </v>
          </cell>
          <cell r="J399" t="str">
            <v>Northern</v>
          </cell>
          <cell r="K399">
            <v>0</v>
          </cell>
          <cell r="L399" t="str">
            <v>BDO</v>
          </cell>
        </row>
        <row r="400">
          <cell r="F400">
            <v>8016907</v>
          </cell>
          <cell r="G400" t="str">
            <v>Federation</v>
          </cell>
          <cell r="H400" t="str">
            <v>Cabot Learning Federation</v>
          </cell>
          <cell r="I400" t="str">
            <v>Bristol Brunel Academy</v>
          </cell>
          <cell r="J400" t="str">
            <v>Western</v>
          </cell>
          <cell r="K400">
            <v>0</v>
          </cell>
          <cell r="L400" t="str">
            <v>BDO</v>
          </cell>
        </row>
        <row r="401">
          <cell r="F401">
            <v>8016913</v>
          </cell>
          <cell r="G401" t="str">
            <v>Federation</v>
          </cell>
          <cell r="H401" t="str">
            <v>Cabot Learning Federation</v>
          </cell>
          <cell r="I401" t="str">
            <v>Bristol Metropolitan Academy</v>
          </cell>
          <cell r="J401" t="str">
            <v>Western</v>
          </cell>
          <cell r="K401">
            <v>0</v>
          </cell>
          <cell r="L401" t="str">
            <v>BDO</v>
          </cell>
        </row>
        <row r="402">
          <cell r="F402">
            <v>8024145</v>
          </cell>
          <cell r="G402" t="str">
            <v>Federation</v>
          </cell>
          <cell r="H402" t="str">
            <v>Cabot Learning Federation</v>
          </cell>
          <cell r="I402" t="str">
            <v>Hans Price Academy</v>
          </cell>
          <cell r="J402" t="str">
            <v>Western</v>
          </cell>
          <cell r="K402">
            <v>0</v>
          </cell>
          <cell r="L402" t="str">
            <v>BDO</v>
          </cell>
        </row>
        <row r="403">
          <cell r="F403">
            <v>8036906</v>
          </cell>
          <cell r="G403" t="str">
            <v>Federation</v>
          </cell>
          <cell r="H403" t="str">
            <v>Cabot Learning Federation</v>
          </cell>
          <cell r="I403" t="str">
            <v>John Cabot Academy</v>
          </cell>
          <cell r="J403" t="str">
            <v>Western</v>
          </cell>
          <cell r="K403">
            <v>0</v>
          </cell>
          <cell r="L403" t="str">
            <v>BDO</v>
          </cell>
        </row>
        <row r="404">
          <cell r="F404">
            <v>9316907</v>
          </cell>
          <cell r="G404" t="str">
            <v>Federation</v>
          </cell>
          <cell r="H404" t="str">
            <v>CFBT Schools Trust</v>
          </cell>
          <cell r="I404" t="str">
            <v>Oxford Spires Academy</v>
          </cell>
          <cell r="J404" t="str">
            <v>Southern</v>
          </cell>
          <cell r="K404">
            <v>0</v>
          </cell>
          <cell r="L404" t="str">
            <v>BDO</v>
          </cell>
        </row>
        <row r="405">
          <cell r="F405">
            <v>3366906</v>
          </cell>
          <cell r="G405" t="str">
            <v>Federation</v>
          </cell>
          <cell r="H405" t="str">
            <v>City of Wolverhampton Academy Trust</v>
          </cell>
          <cell r="I405" t="str">
            <v>North East Wolverhampton Academy</v>
          </cell>
          <cell r="J405" t="str">
            <v>Western</v>
          </cell>
          <cell r="K405">
            <v>0</v>
          </cell>
          <cell r="L405" t="str">
            <v>BDO</v>
          </cell>
        </row>
        <row r="406">
          <cell r="F406">
            <v>3366905</v>
          </cell>
          <cell r="G406" t="str">
            <v>Federation</v>
          </cell>
          <cell r="H406" t="str">
            <v>City of Wolverhampton Academy Trust</v>
          </cell>
          <cell r="I406" t="str">
            <v>South Wolverhampton and Bilston Academy</v>
          </cell>
          <cell r="J406" t="str">
            <v>Western</v>
          </cell>
          <cell r="K406">
            <v>0</v>
          </cell>
          <cell r="L406" t="str">
            <v>BDO</v>
          </cell>
        </row>
        <row r="407">
          <cell r="F407">
            <v>8865462</v>
          </cell>
          <cell r="G407" t="str">
            <v>Federation</v>
          </cell>
          <cell r="H407" t="str">
            <v>Clarendon House Grammar School</v>
          </cell>
          <cell r="I407" t="str">
            <v>Chatham House Grammar School (in federation with The Clarendon House Grammar School)</v>
          </cell>
          <cell r="J407" t="str">
            <v>Southern</v>
          </cell>
          <cell r="K407">
            <v>0</v>
          </cell>
          <cell r="L407" t="str">
            <v>BDO</v>
          </cell>
        </row>
        <row r="408">
          <cell r="F408">
            <v>8864118</v>
          </cell>
          <cell r="G408" t="str">
            <v>Federation</v>
          </cell>
          <cell r="H408" t="str">
            <v>Clarendon House Grammar School</v>
          </cell>
          <cell r="I408" t="str">
            <v>The Clarendon House Grammar School (in federation with Chatham House)</v>
          </cell>
          <cell r="J408" t="str">
            <v>Southern</v>
          </cell>
          <cell r="K408">
            <v>0</v>
          </cell>
          <cell r="L408" t="str">
            <v>BDO</v>
          </cell>
        </row>
        <row r="409">
          <cell r="F409">
            <v>3336907</v>
          </cell>
          <cell r="G409" t="str">
            <v>Federation</v>
          </cell>
          <cell r="H409" t="str">
            <v>Collegiate Academy</v>
          </cell>
          <cell r="I409" t="str">
            <v>George Salter Collegiate Academy</v>
          </cell>
          <cell r="J409" t="str">
            <v>Western</v>
          </cell>
          <cell r="K409">
            <v>0</v>
          </cell>
          <cell r="L409" t="str">
            <v>BDO</v>
          </cell>
        </row>
        <row r="410">
          <cell r="F410">
            <v>3336906</v>
          </cell>
          <cell r="G410" t="str">
            <v>Federation</v>
          </cell>
          <cell r="H410" t="str">
            <v>Collegiate Academy</v>
          </cell>
          <cell r="I410" t="str">
            <v>Shireland Collegiate Academy</v>
          </cell>
          <cell r="J410" t="str">
            <v>Western</v>
          </cell>
          <cell r="K410">
            <v>0</v>
          </cell>
          <cell r="L410" t="str">
            <v>BDO</v>
          </cell>
        </row>
        <row r="411">
          <cell r="F411">
            <v>3082078</v>
          </cell>
          <cell r="G411" t="str">
            <v>Federation</v>
          </cell>
          <cell r="H411" t="str">
            <v>Cuckoo Hall academies Trust</v>
          </cell>
          <cell r="I411" t="str">
            <v>Cuckoo Hall Academy</v>
          </cell>
          <cell r="J411" t="str">
            <v>Southern</v>
          </cell>
          <cell r="K411">
            <v>0</v>
          </cell>
          <cell r="L411" t="str">
            <v>BDO</v>
          </cell>
        </row>
        <row r="412">
          <cell r="F412">
            <v>8126907</v>
          </cell>
          <cell r="G412" t="str">
            <v>Federation</v>
          </cell>
          <cell r="H412" t="str">
            <v>David Ross Academies</v>
          </cell>
          <cell r="I412" t="str">
            <v>Havelock Academy</v>
          </cell>
          <cell r="J412" t="str">
            <v>Northern</v>
          </cell>
          <cell r="K412">
            <v>0</v>
          </cell>
          <cell r="L412" t="str">
            <v>BDO</v>
          </cell>
        </row>
        <row r="413">
          <cell r="F413">
            <v>3046908</v>
          </cell>
          <cell r="G413" t="str">
            <v>Federation</v>
          </cell>
          <cell r="H413" t="str">
            <v>E-ACT</v>
          </cell>
          <cell r="I413" t="str">
            <v>Crest Boys' Academy (E-ACT)</v>
          </cell>
          <cell r="J413" t="str">
            <v>Southern</v>
          </cell>
          <cell r="K413">
            <v>0</v>
          </cell>
          <cell r="L413" t="str">
            <v>BDO</v>
          </cell>
        </row>
        <row r="414">
          <cell r="F414">
            <v>3046907</v>
          </cell>
          <cell r="G414" t="str">
            <v>Federation</v>
          </cell>
          <cell r="H414" t="str">
            <v>E-ACT</v>
          </cell>
          <cell r="I414" t="str">
            <v>Crest Girls' Academy (E-ACT)</v>
          </cell>
          <cell r="J414" t="str">
            <v>Southern</v>
          </cell>
          <cell r="K414">
            <v>0</v>
          </cell>
          <cell r="L414" t="str">
            <v>BDO</v>
          </cell>
        </row>
        <row r="415">
          <cell r="F415">
            <v>8786905</v>
          </cell>
          <cell r="G415" t="str">
            <v>Federation</v>
          </cell>
          <cell r="H415" t="str">
            <v>E-ACT</v>
          </cell>
          <cell r="I415" t="str">
            <v>Dartmouth Academy (E-ACT)</v>
          </cell>
          <cell r="J415" t="str">
            <v>Southern</v>
          </cell>
          <cell r="K415">
            <v>0</v>
          </cell>
          <cell r="L415" t="str">
            <v>BDO</v>
          </cell>
        </row>
        <row r="416">
          <cell r="F416">
            <v>3306905</v>
          </cell>
          <cell r="G416" t="str">
            <v>Federation</v>
          </cell>
          <cell r="H416" t="str">
            <v>E-ACT</v>
          </cell>
          <cell r="I416" t="str">
            <v>Heartlands Academy (E-ACT)</v>
          </cell>
          <cell r="J416" t="str">
            <v>Southern</v>
          </cell>
          <cell r="K416">
            <v>0</v>
          </cell>
          <cell r="L416" t="str">
            <v>BDO</v>
          </cell>
        </row>
        <row r="417">
          <cell r="F417">
            <v>3836906</v>
          </cell>
          <cell r="G417" t="str">
            <v>Federation</v>
          </cell>
          <cell r="H417" t="str">
            <v>E-ACT</v>
          </cell>
          <cell r="I417" t="str">
            <v>Leeds West Academy (E-ACT)</v>
          </cell>
          <cell r="J417" t="str">
            <v>Southern</v>
          </cell>
          <cell r="K417">
            <v>0</v>
          </cell>
          <cell r="L417" t="str">
            <v>BDO</v>
          </cell>
        </row>
        <row r="418">
          <cell r="F418">
            <v>3306909</v>
          </cell>
          <cell r="G418" t="str">
            <v>Federation</v>
          </cell>
          <cell r="H418" t="str">
            <v>E-ACT</v>
          </cell>
          <cell r="I418" t="str">
            <v>North Birmingham Academy (E-ACT)</v>
          </cell>
          <cell r="J418" t="str">
            <v>Southern</v>
          </cell>
          <cell r="K418">
            <v>0</v>
          </cell>
          <cell r="L418" t="str">
            <v>BDO</v>
          </cell>
        </row>
        <row r="419">
          <cell r="F419">
            <v>3736907</v>
          </cell>
          <cell r="G419" t="str">
            <v>Federation</v>
          </cell>
          <cell r="H419" t="str">
            <v>E-ACT</v>
          </cell>
          <cell r="I419" t="str">
            <v>Parkwood Academy (E-ACT)</v>
          </cell>
          <cell r="J419" t="str">
            <v>Southern</v>
          </cell>
          <cell r="K419">
            <v>0</v>
          </cell>
          <cell r="L419" t="str">
            <v>BDO</v>
          </cell>
        </row>
        <row r="420">
          <cell r="F420">
            <v>3306907</v>
          </cell>
          <cell r="G420" t="str">
            <v>Federation</v>
          </cell>
          <cell r="H420" t="str">
            <v>E-ACT</v>
          </cell>
          <cell r="I420" t="str">
            <v>Shenley Academy (E-ACT)</v>
          </cell>
          <cell r="J420" t="str">
            <v>Southern</v>
          </cell>
          <cell r="K420">
            <v>0</v>
          </cell>
          <cell r="L420" t="str">
            <v>BDO</v>
          </cell>
        </row>
        <row r="421">
          <cell r="F421">
            <v>3536906</v>
          </cell>
          <cell r="G421" t="str">
            <v>Federation</v>
          </cell>
          <cell r="H421" t="str">
            <v>E-ACT</v>
          </cell>
          <cell r="I421" t="str">
            <v>The Oldham Academy North (E-ACT)</v>
          </cell>
          <cell r="J421" t="str">
            <v>Southern</v>
          </cell>
          <cell r="K421">
            <v>0</v>
          </cell>
          <cell r="L421" t="str">
            <v>BDO</v>
          </cell>
        </row>
        <row r="422">
          <cell r="F422">
            <v>8966906</v>
          </cell>
          <cell r="G422" t="str">
            <v>Federation</v>
          </cell>
          <cell r="H422" t="str">
            <v>E-ACT</v>
          </cell>
          <cell r="I422" t="str">
            <v>The Winsford Academy (E-ACT)</v>
          </cell>
          <cell r="J422" t="str">
            <v>Southern</v>
          </cell>
          <cell r="K422">
            <v>0</v>
          </cell>
          <cell r="L422" t="str">
            <v>BDO</v>
          </cell>
        </row>
        <row r="423">
          <cell r="F423">
            <v>9256908</v>
          </cell>
          <cell r="G423" t="str">
            <v>Federation</v>
          </cell>
          <cell r="H423" t="str">
            <v>E-ACT</v>
          </cell>
          <cell r="I423" t="str">
            <v>Trent Valley Academy (E-ACT)</v>
          </cell>
          <cell r="J423" t="str">
            <v>Southern</v>
          </cell>
          <cell r="K423">
            <v>0</v>
          </cell>
          <cell r="L423" t="str">
            <v>BDO</v>
          </cell>
        </row>
        <row r="424">
          <cell r="F424">
            <v>8866913</v>
          </cell>
          <cell r="G424" t="str">
            <v>Federation</v>
          </cell>
          <cell r="H424" t="str">
            <v>Future Schools Trust</v>
          </cell>
          <cell r="I424" t="str">
            <v>Cornwallis Academy</v>
          </cell>
          <cell r="J424" t="str">
            <v>Southern</v>
          </cell>
          <cell r="K424">
            <v>0</v>
          </cell>
          <cell r="L424" t="str">
            <v>BDO</v>
          </cell>
        </row>
        <row r="425">
          <cell r="F425">
            <v>8866912</v>
          </cell>
          <cell r="G425" t="str">
            <v>Federation</v>
          </cell>
          <cell r="H425" t="str">
            <v>Future Schools Trust</v>
          </cell>
          <cell r="I425" t="str">
            <v>New Line Learning Academy</v>
          </cell>
          <cell r="J425" t="str">
            <v>Southern</v>
          </cell>
          <cell r="K425">
            <v>0</v>
          </cell>
          <cell r="L425" t="str">
            <v>BDO</v>
          </cell>
        </row>
        <row r="426">
          <cell r="F426">
            <v>3446905</v>
          </cell>
          <cell r="G426" t="str">
            <v>Federation</v>
          </cell>
          <cell r="H426" t="str">
            <v>Girls Day Schools Trust (GDST)</v>
          </cell>
          <cell r="I426" t="str">
            <v>Birkenhead High School Academy</v>
          </cell>
          <cell r="J426" t="str">
            <v>Northern</v>
          </cell>
          <cell r="K426">
            <v>0</v>
          </cell>
          <cell r="L426" t="str">
            <v>BDO</v>
          </cell>
        </row>
        <row r="427">
          <cell r="F427">
            <v>3416907</v>
          </cell>
          <cell r="G427" t="str">
            <v>Federation</v>
          </cell>
          <cell r="H427" t="str">
            <v>Girls Day Schools Trust (GDST)</v>
          </cell>
          <cell r="I427" t="str">
            <v>The Belvedere Academy</v>
          </cell>
          <cell r="J427" t="str">
            <v>Northern</v>
          </cell>
          <cell r="K427">
            <v>0</v>
          </cell>
          <cell r="L427" t="str">
            <v>BDO</v>
          </cell>
        </row>
        <row r="428">
          <cell r="F428">
            <v>3914429</v>
          </cell>
          <cell r="G428" t="str">
            <v>Federation</v>
          </cell>
          <cell r="H428" t="str">
            <v>Gosforth Academies Trust</v>
          </cell>
          <cell r="I428" t="str">
            <v>Gosforth Academy
(in federation with Gosforth Junior High Academy)</v>
          </cell>
          <cell r="J428" t="str">
            <v>Northern</v>
          </cell>
          <cell r="K428">
            <v>0</v>
          </cell>
          <cell r="L428" t="str">
            <v>BDO</v>
          </cell>
        </row>
        <row r="429">
          <cell r="F429">
            <v>3914303</v>
          </cell>
          <cell r="G429" t="str">
            <v>Federation</v>
          </cell>
          <cell r="H429" t="str">
            <v>Gosforth Academies Trust</v>
          </cell>
          <cell r="I429" t="str">
            <v>Gosforth Junior High Academy
(in federation with Gosforth Academy)</v>
          </cell>
          <cell r="J429" t="str">
            <v>Northern</v>
          </cell>
          <cell r="K429">
            <v>0</v>
          </cell>
          <cell r="L429" t="str">
            <v>BDO</v>
          </cell>
        </row>
        <row r="430">
          <cell r="F430">
            <v>3316905</v>
          </cell>
          <cell r="G430" t="str">
            <v>Federation</v>
          </cell>
          <cell r="H430" t="str">
            <v>Grace Academy</v>
          </cell>
          <cell r="I430" t="str">
            <v>Grace Academy Coventry</v>
          </cell>
          <cell r="J430" t="str">
            <v>Western</v>
          </cell>
          <cell r="K430">
            <v>0</v>
          </cell>
          <cell r="L430" t="str">
            <v>BDO</v>
          </cell>
        </row>
        <row r="431">
          <cell r="F431">
            <v>3356907</v>
          </cell>
          <cell r="G431" t="str">
            <v>Federation</v>
          </cell>
          <cell r="H431" t="str">
            <v>Grace Academy</v>
          </cell>
          <cell r="I431" t="str">
            <v>Grace Academy Darlaston</v>
          </cell>
          <cell r="J431" t="str">
            <v>Western</v>
          </cell>
          <cell r="K431">
            <v>0</v>
          </cell>
          <cell r="L431" t="str">
            <v>BDO</v>
          </cell>
        </row>
        <row r="432">
          <cell r="F432">
            <v>3346905</v>
          </cell>
          <cell r="G432" t="str">
            <v>Federation</v>
          </cell>
          <cell r="H432" t="str">
            <v>Grace Academy</v>
          </cell>
          <cell r="I432" t="str">
            <v>Grace Academy Solihull</v>
          </cell>
          <cell r="J432" t="str">
            <v>Western</v>
          </cell>
          <cell r="K432">
            <v>0</v>
          </cell>
          <cell r="L432" t="str">
            <v>BDO</v>
          </cell>
        </row>
        <row r="433">
          <cell r="F433">
            <v>8926907</v>
          </cell>
          <cell r="G433">
            <v>0</v>
          </cell>
          <cell r="H433" t="str">
            <v>Greenwood Academy Trust</v>
          </cell>
          <cell r="I433" t="str">
            <v>Nottingham Academy</v>
          </cell>
          <cell r="J433" t="str">
            <v>Eastern</v>
          </cell>
          <cell r="K433">
            <v>0</v>
          </cell>
          <cell r="L433" t="str">
            <v>BDO</v>
          </cell>
        </row>
        <row r="434">
          <cell r="F434">
            <v>9256911</v>
          </cell>
          <cell r="G434">
            <v>0</v>
          </cell>
          <cell r="H434" t="str">
            <v>Greenwood Academy Trust</v>
          </cell>
          <cell r="I434" t="str">
            <v>Skegness Academy</v>
          </cell>
          <cell r="J434" t="str">
            <v>Eastern</v>
          </cell>
          <cell r="K434">
            <v>0</v>
          </cell>
          <cell r="L434" t="str">
            <v>BDO</v>
          </cell>
        </row>
        <row r="435">
          <cell r="F435">
            <v>3036907</v>
          </cell>
          <cell r="G435" t="str">
            <v>Federation</v>
          </cell>
          <cell r="H435" t="str">
            <v>Haberdashers</v>
          </cell>
          <cell r="I435" t="str">
            <v>Haberdashers' Aske's Crayford Academy</v>
          </cell>
          <cell r="J435" t="str">
            <v>Southern</v>
          </cell>
          <cell r="K435">
            <v>0</v>
          </cell>
          <cell r="L435" t="str">
            <v>BDO</v>
          </cell>
        </row>
        <row r="436">
          <cell r="F436">
            <v>2096905</v>
          </cell>
          <cell r="G436" t="str">
            <v>Federation</v>
          </cell>
          <cell r="H436" t="str">
            <v>Haberdashers</v>
          </cell>
          <cell r="I436" t="str">
            <v>Haberdashers' Aske's Hatcham Academy</v>
          </cell>
          <cell r="J436" t="str">
            <v>Southern</v>
          </cell>
          <cell r="K436">
            <v>0</v>
          </cell>
          <cell r="L436" t="str">
            <v>BDO</v>
          </cell>
        </row>
        <row r="437">
          <cell r="F437">
            <v>2096906</v>
          </cell>
          <cell r="G437" t="str">
            <v>Federation</v>
          </cell>
          <cell r="H437" t="str">
            <v>Haberdashers</v>
          </cell>
          <cell r="I437" t="str">
            <v>Haberdashers' Aske's Knights Academy</v>
          </cell>
          <cell r="J437" t="str">
            <v>Southern</v>
          </cell>
          <cell r="K437">
            <v>0</v>
          </cell>
          <cell r="L437" t="str">
            <v>BDO</v>
          </cell>
        </row>
        <row r="438">
          <cell r="F438">
            <v>8946906</v>
          </cell>
          <cell r="G438" t="str">
            <v>Individual</v>
          </cell>
          <cell r="H438" t="str">
            <v>Haberdashers Adams Federation Trust</v>
          </cell>
          <cell r="I438" t="str">
            <v>Abraham Darby Academy</v>
          </cell>
          <cell r="J438" t="str">
            <v>Western</v>
          </cell>
          <cell r="K438">
            <v>0</v>
          </cell>
          <cell r="L438" t="str">
            <v>BDO</v>
          </cell>
        </row>
        <row r="439">
          <cell r="F439">
            <v>2106907</v>
          </cell>
          <cell r="G439" t="str">
            <v>Federation</v>
          </cell>
          <cell r="H439" t="str">
            <v>Harris</v>
          </cell>
          <cell r="I439" t="str">
            <v>Harris Academy Bermondsey</v>
          </cell>
          <cell r="J439" t="str">
            <v>Southern</v>
          </cell>
          <cell r="K439">
            <v>0</v>
          </cell>
          <cell r="L439" t="str">
            <v>BDO</v>
          </cell>
        </row>
        <row r="440">
          <cell r="F440">
            <v>3036906</v>
          </cell>
          <cell r="G440" t="str">
            <v>Federation</v>
          </cell>
          <cell r="H440" t="str">
            <v>Harris</v>
          </cell>
          <cell r="I440" t="str">
            <v xml:space="preserve">Harris Academy Falconwood </v>
          </cell>
          <cell r="J440" t="str">
            <v>Southern</v>
          </cell>
          <cell r="K440">
            <v>0</v>
          </cell>
          <cell r="L440" t="str">
            <v>BDO</v>
          </cell>
        </row>
        <row r="441">
          <cell r="F441">
            <v>3156905</v>
          </cell>
          <cell r="G441" t="str">
            <v>Federation</v>
          </cell>
          <cell r="H441" t="str">
            <v>Harris</v>
          </cell>
          <cell r="I441" t="str">
            <v>Harris Academy Merton</v>
          </cell>
          <cell r="J441" t="str">
            <v>Southern</v>
          </cell>
          <cell r="K441">
            <v>0</v>
          </cell>
          <cell r="L441" t="str">
            <v>BDO</v>
          </cell>
        </row>
        <row r="442">
          <cell r="F442">
            <v>3066908</v>
          </cell>
          <cell r="G442" t="str">
            <v>Federation</v>
          </cell>
          <cell r="H442" t="str">
            <v>Harris</v>
          </cell>
          <cell r="I442" t="str">
            <v>Harris Academy Purley</v>
          </cell>
          <cell r="J442" t="str">
            <v>Southern</v>
          </cell>
          <cell r="K442">
            <v>0</v>
          </cell>
          <cell r="L442" t="str">
            <v>BDO</v>
          </cell>
        </row>
        <row r="443">
          <cell r="F443">
            <v>3066905</v>
          </cell>
          <cell r="G443" t="str">
            <v>Federation</v>
          </cell>
          <cell r="H443" t="str">
            <v>Harris</v>
          </cell>
          <cell r="I443" t="str">
            <v>Harris Academy South Norwood</v>
          </cell>
          <cell r="J443" t="str">
            <v>Southern</v>
          </cell>
          <cell r="K443">
            <v>0</v>
          </cell>
          <cell r="L443" t="str">
            <v>BDO</v>
          </cell>
        </row>
        <row r="444">
          <cell r="F444">
            <v>2106906</v>
          </cell>
          <cell r="G444" t="str">
            <v>Federation</v>
          </cell>
          <cell r="H444" t="str">
            <v>Harris</v>
          </cell>
          <cell r="I444" t="str">
            <v>Harris Academy, Peckham</v>
          </cell>
          <cell r="J444" t="str">
            <v>Southern</v>
          </cell>
          <cell r="K444">
            <v>0</v>
          </cell>
          <cell r="L444" t="str">
            <v>BDO</v>
          </cell>
        </row>
        <row r="445">
          <cell r="F445">
            <v>2106913</v>
          </cell>
          <cell r="G445" t="str">
            <v>Federation</v>
          </cell>
          <cell r="H445" t="str">
            <v>Harris</v>
          </cell>
          <cell r="I445" t="str">
            <v>Harris Boys' Academy East Dulwich</v>
          </cell>
          <cell r="J445" t="str">
            <v>Southern</v>
          </cell>
          <cell r="K445">
            <v>0</v>
          </cell>
          <cell r="L445" t="str">
            <v>BDO</v>
          </cell>
        </row>
        <row r="446">
          <cell r="F446">
            <v>3066906</v>
          </cell>
          <cell r="G446" t="str">
            <v>Federation</v>
          </cell>
          <cell r="H446" t="str">
            <v>Harris</v>
          </cell>
          <cell r="I446" t="str">
            <v>Harris City Academy Crystal Palace</v>
          </cell>
          <cell r="J446" t="str">
            <v>Southern</v>
          </cell>
          <cell r="K446">
            <v>0</v>
          </cell>
          <cell r="L446" t="str">
            <v>BDO</v>
          </cell>
        </row>
        <row r="447">
          <cell r="F447">
            <v>2106908</v>
          </cell>
          <cell r="G447" t="str">
            <v>Federation</v>
          </cell>
          <cell r="H447" t="str">
            <v>Harris</v>
          </cell>
          <cell r="I447" t="str">
            <v>Harris Girls' Academy East Dulwich</v>
          </cell>
          <cell r="J447" t="str">
            <v>Southern</v>
          </cell>
          <cell r="K447">
            <v>0</v>
          </cell>
          <cell r="L447" t="str">
            <v>BDO</v>
          </cell>
        </row>
        <row r="448">
          <cell r="F448">
            <v>8784184</v>
          </cell>
          <cell r="G448" t="str">
            <v>Individual</v>
          </cell>
          <cell r="H448" t="str">
            <v xml:space="preserve">Ivybridge Comm Trust </v>
          </cell>
          <cell r="I448" t="str">
            <v>Ivybridge Community College</v>
          </cell>
          <cell r="J448" t="str">
            <v>Western</v>
          </cell>
          <cell r="K448">
            <v>0</v>
          </cell>
          <cell r="L448" t="str">
            <v>BDO</v>
          </cell>
        </row>
        <row r="449">
          <cell r="F449">
            <v>8814001</v>
          </cell>
          <cell r="G449" t="str">
            <v>Federation</v>
          </cell>
          <cell r="H449" t="str">
            <v>Kemnal Academies Trust</v>
          </cell>
          <cell r="I449" t="str">
            <v>Debden Park High School  (part of The Kemnal Academies Trust)</v>
          </cell>
          <cell r="J449" t="str">
            <v>Southern</v>
          </cell>
          <cell r="K449">
            <v>0</v>
          </cell>
          <cell r="L449" t="str">
            <v>BDO</v>
          </cell>
        </row>
        <row r="450">
          <cell r="F450">
            <v>3032005</v>
          </cell>
          <cell r="G450" t="str">
            <v>Federation</v>
          </cell>
          <cell r="H450" t="str">
            <v>Kemnal Academies Trust</v>
          </cell>
          <cell r="I450" t="str">
            <v>East Wickham Infant School (part of the Kemnal Academies Trust)</v>
          </cell>
          <cell r="J450" t="str">
            <v>Southern</v>
          </cell>
          <cell r="K450">
            <v>0</v>
          </cell>
          <cell r="L450" t="str">
            <v>BDO</v>
          </cell>
        </row>
        <row r="451">
          <cell r="F451">
            <v>3055406</v>
          </cell>
          <cell r="G451" t="str">
            <v>Federation</v>
          </cell>
          <cell r="H451" t="str">
            <v>Kemnal Academies Trust</v>
          </cell>
          <cell r="I451" t="str">
            <v>Kemnal Technology College (part of the Kemnal Academies Trust)</v>
          </cell>
          <cell r="J451" t="str">
            <v>Southern</v>
          </cell>
          <cell r="K451">
            <v>0</v>
          </cell>
          <cell r="L451" t="str">
            <v>BDO</v>
          </cell>
        </row>
        <row r="452">
          <cell r="F452">
            <v>8815415</v>
          </cell>
          <cell r="G452" t="str">
            <v>Federation</v>
          </cell>
          <cell r="H452" t="str">
            <v>Kemnal Academies Trust</v>
          </cell>
          <cell r="I452" t="str">
            <v xml:space="preserve">King Harold School (part of the Kemnal Academies Trust)   </v>
          </cell>
          <cell r="J452" t="str">
            <v>Southern</v>
          </cell>
          <cell r="K452">
            <v>0</v>
          </cell>
          <cell r="L452" t="str">
            <v>BDO</v>
          </cell>
        </row>
        <row r="453">
          <cell r="F453">
            <v>8864031</v>
          </cell>
          <cell r="G453" t="str">
            <v>Federation</v>
          </cell>
          <cell r="H453" t="str">
            <v>Kemnal Academies Trust</v>
          </cell>
          <cell r="I453" t="str">
            <v xml:space="preserve">Orchards Academy - Formally Swanley Tech College (part of the Kemnal Academies Trust) </v>
          </cell>
          <cell r="J453" t="str">
            <v>Southern</v>
          </cell>
          <cell r="K453">
            <v>0</v>
          </cell>
          <cell r="L453" t="str">
            <v>BDO</v>
          </cell>
        </row>
        <row r="454">
          <cell r="F454">
            <v>8874199</v>
          </cell>
          <cell r="G454" t="str">
            <v>Federation</v>
          </cell>
          <cell r="H454" t="str">
            <v>Kemnal Academies Trust</v>
          </cell>
          <cell r="I454" t="str">
            <v xml:space="preserve">Rainham School for Girls (part of the Kemnal Academies Trust) </v>
          </cell>
          <cell r="J454" t="str">
            <v>Southern</v>
          </cell>
          <cell r="K454">
            <v>0</v>
          </cell>
          <cell r="L454" t="str">
            <v>BDO</v>
          </cell>
        </row>
        <row r="455">
          <cell r="F455">
            <v>3034021</v>
          </cell>
          <cell r="G455" t="str">
            <v>Federation</v>
          </cell>
          <cell r="H455" t="str">
            <v>Kemnal Academies Trust</v>
          </cell>
          <cell r="I455" t="str">
            <v>Welling School (part of the Kemnal Academies Trust)</v>
          </cell>
          <cell r="J455" t="str">
            <v>Southern</v>
          </cell>
          <cell r="K455">
            <v>0</v>
          </cell>
          <cell r="L455" t="str">
            <v>BDO</v>
          </cell>
        </row>
        <row r="456">
          <cell r="F456">
            <v>3186905</v>
          </cell>
          <cell r="G456" t="str">
            <v>Federation</v>
          </cell>
          <cell r="H456" t="str">
            <v>Kunskapsskolan</v>
          </cell>
          <cell r="I456" t="str">
            <v>Hampton Academy</v>
          </cell>
          <cell r="J456" t="str">
            <v>Southern</v>
          </cell>
          <cell r="K456">
            <v>0</v>
          </cell>
          <cell r="L456" t="str">
            <v>BDO</v>
          </cell>
        </row>
        <row r="457">
          <cell r="F457">
            <v>9354606</v>
          </cell>
          <cell r="G457" t="str">
            <v>Federation</v>
          </cell>
          <cell r="H457" t="str">
            <v>Kunskapsskolan</v>
          </cell>
          <cell r="I457" t="str">
            <v>Ipswich Academy</v>
          </cell>
          <cell r="J457" t="str">
            <v>Southern</v>
          </cell>
          <cell r="K457">
            <v>0</v>
          </cell>
          <cell r="L457" t="str">
            <v>BDO</v>
          </cell>
        </row>
        <row r="458">
          <cell r="F458">
            <v>3186906</v>
          </cell>
          <cell r="G458" t="str">
            <v>Federation</v>
          </cell>
          <cell r="H458" t="str">
            <v>Kunskapsskolan</v>
          </cell>
          <cell r="I458" t="str">
            <v>Twickenham Academy</v>
          </cell>
          <cell r="J458" t="str">
            <v>Southern</v>
          </cell>
          <cell r="K458">
            <v>0</v>
          </cell>
          <cell r="L458" t="str">
            <v>BDO</v>
          </cell>
        </row>
        <row r="459">
          <cell r="F459">
            <v>8606905</v>
          </cell>
          <cell r="G459" t="str">
            <v>Individual</v>
          </cell>
          <cell r="H459" t="str">
            <v>Landau Forte</v>
          </cell>
          <cell r="I459" t="str">
            <v>Landau Forte Academy</v>
          </cell>
          <cell r="J459" t="str">
            <v>Western</v>
          </cell>
          <cell r="K459">
            <v>0</v>
          </cell>
          <cell r="L459" t="str">
            <v>BDO</v>
          </cell>
        </row>
        <row r="460">
          <cell r="F460">
            <v>8866910</v>
          </cell>
          <cell r="G460" t="str">
            <v>Federation</v>
          </cell>
          <cell r="H460" t="str">
            <v>Leigh Academies Trust</v>
          </cell>
          <cell r="I460" t="str">
            <v>Leigh Technology Academy</v>
          </cell>
          <cell r="J460" t="str">
            <v>Southern</v>
          </cell>
          <cell r="K460">
            <v>0</v>
          </cell>
          <cell r="L460" t="str">
            <v>BDO</v>
          </cell>
        </row>
        <row r="461">
          <cell r="F461">
            <v>8866914</v>
          </cell>
          <cell r="G461" t="str">
            <v>Federation</v>
          </cell>
          <cell r="H461" t="str">
            <v>Leigh Academies Trust</v>
          </cell>
          <cell r="I461" t="str">
            <v>Longfield Academy</v>
          </cell>
          <cell r="J461" t="str">
            <v>Southern</v>
          </cell>
          <cell r="K461">
            <v>0</v>
          </cell>
          <cell r="L461" t="str">
            <v>BDO</v>
          </cell>
        </row>
        <row r="462">
          <cell r="F462">
            <v>8866920</v>
          </cell>
          <cell r="G462" t="str">
            <v>Federation</v>
          </cell>
          <cell r="H462" t="str">
            <v>Leigh Academies Trust</v>
          </cell>
          <cell r="I462" t="str">
            <v>Wilmington Academy</v>
          </cell>
          <cell r="J462" t="str">
            <v>Southern</v>
          </cell>
          <cell r="K462">
            <v>0</v>
          </cell>
          <cell r="L462" t="str">
            <v>BDO</v>
          </cell>
        </row>
        <row r="463">
          <cell r="F463">
            <v>3526911</v>
          </cell>
          <cell r="G463" t="str">
            <v>Federation</v>
          </cell>
          <cell r="H463" t="str">
            <v xml:space="preserve">Manchester Creative and Media Academies </v>
          </cell>
          <cell r="I463" t="str">
            <v>Manchester Creative and Media Academy (Boys)</v>
          </cell>
          <cell r="J463" t="str">
            <v>Northern</v>
          </cell>
          <cell r="K463">
            <v>0</v>
          </cell>
          <cell r="L463" t="str">
            <v>BDO</v>
          </cell>
        </row>
        <row r="464">
          <cell r="F464">
            <v>3526910</v>
          </cell>
          <cell r="G464" t="str">
            <v>Federation</v>
          </cell>
          <cell r="H464" t="str">
            <v xml:space="preserve">Manchester Creative and Media Academies </v>
          </cell>
          <cell r="I464" t="str">
            <v>Manchester Creative and Media Academy (Girls)</v>
          </cell>
          <cell r="J464" t="str">
            <v>Northern</v>
          </cell>
          <cell r="K464">
            <v>0</v>
          </cell>
          <cell r="L464" t="str">
            <v>BDO</v>
          </cell>
        </row>
        <row r="465">
          <cell r="F465">
            <v>8004128</v>
          </cell>
          <cell r="G465" t="str">
            <v>Federation</v>
          </cell>
          <cell r="H465" t="str">
            <v>Midsomer Norton Schools Partnership</v>
          </cell>
          <cell r="I465" t="str">
            <v>Norton Hill School (in federation with Somervale School)</v>
          </cell>
          <cell r="J465" t="str">
            <v>Western</v>
          </cell>
          <cell r="K465">
            <v>0</v>
          </cell>
          <cell r="L465" t="str">
            <v>BDO</v>
          </cell>
        </row>
        <row r="466">
          <cell r="F466">
            <v>8004133</v>
          </cell>
          <cell r="G466" t="str">
            <v>Federation</v>
          </cell>
          <cell r="H466" t="str">
            <v>Midsomer Norton Schools Partnership</v>
          </cell>
          <cell r="I466" t="str">
            <v>Somervale School (in federation with Norton Hill School)</v>
          </cell>
          <cell r="J466" t="str">
            <v>Western</v>
          </cell>
          <cell r="K466">
            <v>0</v>
          </cell>
          <cell r="L466" t="str">
            <v>BDO</v>
          </cell>
        </row>
        <row r="467">
          <cell r="F467">
            <v>8016912</v>
          </cell>
          <cell r="G467" t="str">
            <v>Federation</v>
          </cell>
          <cell r="H467" t="str">
            <v>Oasis</v>
          </cell>
          <cell r="I467" t="str">
            <v>Oasis Academy Brightstowe</v>
          </cell>
          <cell r="J467" t="str">
            <v>Southern</v>
          </cell>
          <cell r="K467">
            <v>0</v>
          </cell>
          <cell r="L467" t="str">
            <v>BDO</v>
          </cell>
        </row>
        <row r="468">
          <cell r="F468">
            <v>3066907</v>
          </cell>
          <cell r="G468" t="str">
            <v>Federation</v>
          </cell>
          <cell r="H468" t="str">
            <v>Oasis</v>
          </cell>
          <cell r="I468" t="str">
            <v>Oasis Academy Coulsdon</v>
          </cell>
          <cell r="J468" t="str">
            <v>Southern</v>
          </cell>
          <cell r="K468">
            <v>0</v>
          </cell>
          <cell r="L468" t="str">
            <v>BDO</v>
          </cell>
        </row>
        <row r="469">
          <cell r="F469">
            <v>3086905</v>
          </cell>
          <cell r="G469" t="str">
            <v>Federation</v>
          </cell>
          <cell r="H469" t="str">
            <v>Oasis</v>
          </cell>
          <cell r="I469" t="str">
            <v>Oasis Academy Enfield</v>
          </cell>
          <cell r="J469" t="str">
            <v>Southern</v>
          </cell>
          <cell r="K469">
            <v>0</v>
          </cell>
          <cell r="L469" t="str">
            <v>BDO</v>
          </cell>
        </row>
        <row r="470">
          <cell r="F470">
            <v>3086906</v>
          </cell>
          <cell r="G470" t="str">
            <v>Federation</v>
          </cell>
          <cell r="H470" t="str">
            <v>Oasis</v>
          </cell>
          <cell r="I470" t="str">
            <v>Oasis Academy Hadley</v>
          </cell>
          <cell r="J470" t="str">
            <v>Southern</v>
          </cell>
          <cell r="K470">
            <v>0</v>
          </cell>
          <cell r="L470" t="str">
            <v>BDO</v>
          </cell>
        </row>
        <row r="471">
          <cell r="F471">
            <v>8126905</v>
          </cell>
          <cell r="G471" t="str">
            <v>Federation</v>
          </cell>
          <cell r="H471" t="str">
            <v>Oasis</v>
          </cell>
          <cell r="I471" t="str">
            <v>Oasis Academy Immingham</v>
          </cell>
          <cell r="J471" t="str">
            <v>Southern</v>
          </cell>
          <cell r="K471">
            <v>0</v>
          </cell>
          <cell r="L471" t="str">
            <v>BDO</v>
          </cell>
        </row>
        <row r="472">
          <cell r="F472">
            <v>8016911</v>
          </cell>
          <cell r="G472" t="str">
            <v>Federation</v>
          </cell>
          <cell r="H472" t="str">
            <v>Oasis</v>
          </cell>
          <cell r="I472" t="str">
            <v>Oasis Academy John Williams</v>
          </cell>
          <cell r="J472" t="str">
            <v>Southern</v>
          </cell>
          <cell r="K472">
            <v>0</v>
          </cell>
          <cell r="L472" t="str">
            <v>BDO</v>
          </cell>
        </row>
        <row r="473">
          <cell r="F473">
            <v>8526905</v>
          </cell>
          <cell r="G473" t="str">
            <v>Federation</v>
          </cell>
          <cell r="H473" t="str">
            <v>Oasis</v>
          </cell>
          <cell r="I473" t="str">
            <v>Oasis Academy Lord's Hill</v>
          </cell>
          <cell r="J473" t="str">
            <v>Southern</v>
          </cell>
          <cell r="K473">
            <v>0</v>
          </cell>
          <cell r="L473" t="str">
            <v>BDO</v>
          </cell>
        </row>
        <row r="474">
          <cell r="F474">
            <v>8526906</v>
          </cell>
          <cell r="G474" t="str">
            <v>Federation</v>
          </cell>
          <cell r="H474" t="str">
            <v>Oasis</v>
          </cell>
          <cell r="I474" t="str">
            <v>Oasis Academy Mayfield</v>
          </cell>
          <cell r="J474" t="str">
            <v>Southern</v>
          </cell>
          <cell r="K474">
            <v>0</v>
          </cell>
          <cell r="L474" t="str">
            <v>BDO</v>
          </cell>
        </row>
        <row r="475">
          <cell r="F475">
            <v>3556906</v>
          </cell>
          <cell r="G475" t="str">
            <v>Federation</v>
          </cell>
          <cell r="H475" t="str">
            <v>Oasis</v>
          </cell>
          <cell r="I475" t="str">
            <v>Oasis Academy MediaCityUK</v>
          </cell>
          <cell r="J475" t="str">
            <v>Southern</v>
          </cell>
          <cell r="K475">
            <v>0</v>
          </cell>
          <cell r="L475" t="str">
            <v>BDO</v>
          </cell>
        </row>
        <row r="476">
          <cell r="F476">
            <v>3536905</v>
          </cell>
          <cell r="G476" t="str">
            <v>Federation</v>
          </cell>
          <cell r="H476" t="str">
            <v>Oasis</v>
          </cell>
          <cell r="I476" t="str">
            <v>Oasis Academy Oldham</v>
          </cell>
          <cell r="J476" t="str">
            <v>Southern</v>
          </cell>
          <cell r="K476">
            <v>0</v>
          </cell>
          <cell r="L476" t="str">
            <v>BDO</v>
          </cell>
        </row>
        <row r="477">
          <cell r="F477">
            <v>3066909</v>
          </cell>
          <cell r="G477" t="str">
            <v>Federation</v>
          </cell>
          <cell r="H477" t="str">
            <v>Oasis</v>
          </cell>
          <cell r="I477" t="str">
            <v>Oasis Academy Shirley Park</v>
          </cell>
          <cell r="J477" t="str">
            <v>Southern</v>
          </cell>
          <cell r="K477">
            <v>0</v>
          </cell>
          <cell r="L477" t="str">
            <v>BDO</v>
          </cell>
        </row>
        <row r="478">
          <cell r="F478">
            <v>8126906</v>
          </cell>
          <cell r="G478" t="str">
            <v>Federation</v>
          </cell>
          <cell r="H478" t="str">
            <v>Oasis</v>
          </cell>
          <cell r="I478" t="str">
            <v>Oasis Academy Wintringham</v>
          </cell>
          <cell r="J478" t="str">
            <v>Southern</v>
          </cell>
          <cell r="K478">
            <v>0</v>
          </cell>
          <cell r="L478" t="str">
            <v>BDO</v>
          </cell>
        </row>
        <row r="479">
          <cell r="F479">
            <v>8766905</v>
          </cell>
          <cell r="G479" t="str">
            <v>Individual</v>
          </cell>
          <cell r="H479">
            <v>0</v>
          </cell>
          <cell r="I479" t="str">
            <v>Ormiston Bolingbroke Academy</v>
          </cell>
          <cell r="J479" t="str">
            <v>Western</v>
          </cell>
          <cell r="K479">
            <v>0</v>
          </cell>
          <cell r="L479" t="str">
            <v>BDO</v>
          </cell>
        </row>
        <row r="480">
          <cell r="F480">
            <v>8746906</v>
          </cell>
          <cell r="G480" t="str">
            <v>Federation</v>
          </cell>
          <cell r="H480" t="str">
            <v>Ormiston</v>
          </cell>
          <cell r="I480" t="str">
            <v>Ormiston Bushfield Academy</v>
          </cell>
          <cell r="J480" t="str">
            <v>Western</v>
          </cell>
          <cell r="K480">
            <v>0</v>
          </cell>
          <cell r="L480" t="str">
            <v>BDO</v>
          </cell>
        </row>
        <row r="481">
          <cell r="F481">
            <v>8836906</v>
          </cell>
          <cell r="G481" t="str">
            <v>Federation</v>
          </cell>
          <cell r="H481" t="str">
            <v>Ormiston</v>
          </cell>
          <cell r="I481" t="str">
            <v>Ormiston Park Academy</v>
          </cell>
          <cell r="J481" t="str">
            <v>Western</v>
          </cell>
          <cell r="K481">
            <v>0</v>
          </cell>
          <cell r="L481" t="str">
            <v>BDO</v>
          </cell>
        </row>
        <row r="482">
          <cell r="F482">
            <v>3336910</v>
          </cell>
          <cell r="G482" t="str">
            <v>Federation</v>
          </cell>
          <cell r="H482" t="str">
            <v>Ormiston</v>
          </cell>
          <cell r="I482" t="str">
            <v>Ormiston Sandwell Community Academy</v>
          </cell>
          <cell r="J482" t="str">
            <v>Western</v>
          </cell>
          <cell r="K482">
            <v>0</v>
          </cell>
          <cell r="L482" t="str">
            <v>BDO</v>
          </cell>
        </row>
        <row r="483">
          <cell r="F483">
            <v>8616906</v>
          </cell>
          <cell r="G483" t="str">
            <v>Federation</v>
          </cell>
          <cell r="H483" t="str">
            <v>Ormiston</v>
          </cell>
          <cell r="I483" t="str">
            <v>Ormiston Sir Stanley Matthews Academy (OSSMA)</v>
          </cell>
          <cell r="J483" t="str">
            <v>Western</v>
          </cell>
          <cell r="K483">
            <v>0</v>
          </cell>
          <cell r="L483" t="str">
            <v>BDO</v>
          </cell>
        </row>
        <row r="484">
          <cell r="F484">
            <v>9266908</v>
          </cell>
          <cell r="G484" t="str">
            <v>Federation</v>
          </cell>
          <cell r="H484" t="str">
            <v>Ormiston</v>
          </cell>
          <cell r="I484" t="str">
            <v>Ormiston Venture Academy</v>
          </cell>
          <cell r="J484" t="str">
            <v>Western</v>
          </cell>
          <cell r="K484">
            <v>0</v>
          </cell>
          <cell r="L484" t="str">
            <v>BDO</v>
          </cell>
        </row>
        <row r="485">
          <cell r="F485">
            <v>9266907</v>
          </cell>
          <cell r="G485" t="str">
            <v>Federation</v>
          </cell>
          <cell r="H485" t="str">
            <v>Ormiston</v>
          </cell>
          <cell r="I485" t="str">
            <v>Ormiston Victory Academy</v>
          </cell>
          <cell r="J485" t="str">
            <v>Western</v>
          </cell>
          <cell r="K485">
            <v>0</v>
          </cell>
          <cell r="L485" t="str">
            <v>BDO</v>
          </cell>
        </row>
        <row r="486">
          <cell r="F486">
            <v>3716907</v>
          </cell>
          <cell r="G486" t="str">
            <v>Federation</v>
          </cell>
          <cell r="H486" t="str">
            <v>Outward Grange Academies Trust</v>
          </cell>
          <cell r="I486" t="str">
            <v>Outwood Academy, Adwick</v>
          </cell>
          <cell r="J486" t="str">
            <v>Northern</v>
          </cell>
          <cell r="K486">
            <v>0</v>
          </cell>
          <cell r="L486" t="str">
            <v>BDO</v>
          </cell>
        </row>
        <row r="487">
          <cell r="F487">
            <v>3846905</v>
          </cell>
          <cell r="G487" t="str">
            <v>Federation</v>
          </cell>
          <cell r="H487" t="str">
            <v>Outward Grange Academies Trust</v>
          </cell>
          <cell r="I487" t="str">
            <v>Outwood Grange Academy</v>
          </cell>
          <cell r="J487" t="str">
            <v>Northern</v>
          </cell>
          <cell r="K487">
            <v>0</v>
          </cell>
          <cell r="L487" t="str">
            <v>BDO</v>
          </cell>
        </row>
        <row r="488">
          <cell r="F488">
            <v>8154203</v>
          </cell>
          <cell r="G488" t="str">
            <v>Federation</v>
          </cell>
          <cell r="H488" t="str">
            <v>Outward Grange Academies Trust</v>
          </cell>
          <cell r="I488" t="str">
            <v>Ripon College</v>
          </cell>
          <cell r="J488" t="str">
            <v>Northern</v>
          </cell>
          <cell r="K488">
            <v>0</v>
          </cell>
          <cell r="L488" t="str">
            <v>BDO</v>
          </cell>
        </row>
        <row r="489">
          <cell r="F489">
            <v>3063419</v>
          </cell>
          <cell r="G489" t="str">
            <v>Federation</v>
          </cell>
          <cell r="H489" t="str">
            <v>Pegasus Academy Trust</v>
          </cell>
          <cell r="I489" t="str">
            <v>Ecclesbourne Primary School (in chain with Whitehorse Manor Junior and Infant Schools)</v>
          </cell>
          <cell r="J489" t="str">
            <v>Southern</v>
          </cell>
          <cell r="K489">
            <v>0</v>
          </cell>
          <cell r="L489" t="str">
            <v>BDO</v>
          </cell>
        </row>
        <row r="490">
          <cell r="F490">
            <v>3062048</v>
          </cell>
          <cell r="G490" t="str">
            <v>Federation</v>
          </cell>
          <cell r="H490" t="str">
            <v>Pegasus Academy Trust</v>
          </cell>
          <cell r="I490" t="str">
            <v>Whitehorse Manor Infant School (in chain with Whitehorse Manor Junior School and Ecclesbourne Primary School)</v>
          </cell>
          <cell r="J490" t="str">
            <v>Southern</v>
          </cell>
          <cell r="K490">
            <v>0</v>
          </cell>
          <cell r="L490" t="str">
            <v>BDO</v>
          </cell>
        </row>
        <row r="491">
          <cell r="F491">
            <v>3062047</v>
          </cell>
          <cell r="G491" t="str">
            <v>Federation</v>
          </cell>
          <cell r="H491" t="str">
            <v>Pegasus Academy Trust</v>
          </cell>
          <cell r="I491" t="str">
            <v>Whitehorse Manor Junior School (in chain with Whitehorse Manor Infant School and Ecclesbourne Primary School)</v>
          </cell>
          <cell r="J491" t="str">
            <v>Southern</v>
          </cell>
          <cell r="K491">
            <v>0</v>
          </cell>
          <cell r="L491" t="str">
            <v>BDO</v>
          </cell>
        </row>
        <row r="492">
          <cell r="F492">
            <v>9256906</v>
          </cell>
          <cell r="G492">
            <v>0</v>
          </cell>
          <cell r="H492" t="str">
            <v>Priory</v>
          </cell>
          <cell r="I492" t="str">
            <v>Priory City of Lincoln Academy</v>
          </cell>
          <cell r="J492" t="str">
            <v>Eastern</v>
          </cell>
          <cell r="K492">
            <v>0</v>
          </cell>
          <cell r="L492" t="str">
            <v>BDO</v>
          </cell>
        </row>
        <row r="493">
          <cell r="F493">
            <v>9256905</v>
          </cell>
          <cell r="G493">
            <v>0</v>
          </cell>
          <cell r="H493" t="str">
            <v>Priory</v>
          </cell>
          <cell r="I493" t="str">
            <v>Priory Witham Academy</v>
          </cell>
          <cell r="J493" t="str">
            <v>Eastern</v>
          </cell>
          <cell r="K493">
            <v>0</v>
          </cell>
          <cell r="L493" t="str">
            <v>BDO</v>
          </cell>
        </row>
        <row r="494">
          <cell r="F494">
            <v>9256907</v>
          </cell>
          <cell r="G494">
            <v>0</v>
          </cell>
          <cell r="H494" t="str">
            <v>Priory</v>
          </cell>
          <cell r="I494" t="str">
            <v>The Priory Academy LSST</v>
          </cell>
          <cell r="J494" t="str">
            <v>Eastern</v>
          </cell>
          <cell r="K494">
            <v>0</v>
          </cell>
          <cell r="L494" t="str">
            <v>BDO</v>
          </cell>
        </row>
        <row r="495">
          <cell r="F495">
            <v>9256910</v>
          </cell>
          <cell r="G495">
            <v>0</v>
          </cell>
          <cell r="H495" t="str">
            <v>Priory</v>
          </cell>
          <cell r="I495" t="str">
            <v>The Priory Ruskin Academy</v>
          </cell>
          <cell r="J495" t="str">
            <v>Eastern</v>
          </cell>
          <cell r="K495">
            <v>0</v>
          </cell>
          <cell r="L495" t="str">
            <v>BDO</v>
          </cell>
        </row>
        <row r="496">
          <cell r="F496">
            <v>9096906</v>
          </cell>
          <cell r="G496" t="str">
            <v>Federation</v>
          </cell>
          <cell r="H496" t="str">
            <v xml:space="preserve">Richard Rose Federation </v>
          </cell>
          <cell r="I496" t="str">
            <v>Richard Rose Central Academy</v>
          </cell>
          <cell r="J496" t="str">
            <v>Northern</v>
          </cell>
          <cell r="K496">
            <v>0</v>
          </cell>
          <cell r="L496" t="str">
            <v>BDO</v>
          </cell>
        </row>
        <row r="497">
          <cell r="F497">
            <v>9096905</v>
          </cell>
          <cell r="G497" t="str">
            <v>Federation</v>
          </cell>
          <cell r="H497" t="str">
            <v xml:space="preserve">Richard Rose Federation </v>
          </cell>
          <cell r="I497" t="str">
            <v>Richard Rose Morton Academy</v>
          </cell>
          <cell r="J497" t="str">
            <v>Northern</v>
          </cell>
          <cell r="K497">
            <v>0</v>
          </cell>
          <cell r="L497" t="str">
            <v>BDO</v>
          </cell>
        </row>
        <row r="498">
          <cell r="F498">
            <v>8036908</v>
          </cell>
          <cell r="G498" t="str">
            <v>Federation</v>
          </cell>
          <cell r="H498" t="str">
            <v>Ridings Federation of Academies</v>
          </cell>
          <cell r="I498" t="str">
            <v>The Ridings' Federation, Winterborne International Academy</v>
          </cell>
          <cell r="J498" t="str">
            <v>Western</v>
          </cell>
          <cell r="K498">
            <v>0</v>
          </cell>
          <cell r="L498" t="str">
            <v>BDO</v>
          </cell>
        </row>
        <row r="499">
          <cell r="F499">
            <v>8036907</v>
          </cell>
          <cell r="G499" t="str">
            <v>Federation</v>
          </cell>
          <cell r="H499" t="str">
            <v>Ridings Federation of Academies</v>
          </cell>
          <cell r="I499" t="str">
            <v>The Ridings' Federation, Yate International Academy</v>
          </cell>
          <cell r="J499" t="str">
            <v>Western</v>
          </cell>
          <cell r="K499">
            <v>0</v>
          </cell>
          <cell r="L499" t="str">
            <v>BDO</v>
          </cell>
        </row>
        <row r="500">
          <cell r="F500">
            <v>3834112</v>
          </cell>
          <cell r="G500" t="str">
            <v>Federation</v>
          </cell>
          <cell r="H500" t="str">
            <v>School Partnership Trust Academies</v>
          </cell>
          <cell r="I500" t="str">
            <v>Garforth Community College</v>
          </cell>
          <cell r="J500" t="str">
            <v>Northern</v>
          </cell>
          <cell r="K500">
            <v>0</v>
          </cell>
          <cell r="L500" t="str">
            <v>BDO</v>
          </cell>
        </row>
        <row r="501">
          <cell r="F501">
            <v>3832396</v>
          </cell>
          <cell r="G501" t="str">
            <v>Federation</v>
          </cell>
          <cell r="H501" t="str">
            <v>School Partnership Trust Academies</v>
          </cell>
          <cell r="I501" t="str">
            <v>Garforth Green Lane Primary Academy</v>
          </cell>
          <cell r="J501" t="str">
            <v>Northern</v>
          </cell>
          <cell r="K501">
            <v>0</v>
          </cell>
          <cell r="L501" t="str">
            <v>BDO</v>
          </cell>
        </row>
        <row r="502">
          <cell r="F502">
            <v>3714608</v>
          </cell>
          <cell r="G502" t="str">
            <v>Federation</v>
          </cell>
          <cell r="H502" t="str">
            <v>School Partnership Trust Academies</v>
          </cell>
          <cell r="I502" t="str">
            <v xml:space="preserve">Rossington All Saints Academy </v>
          </cell>
          <cell r="J502" t="str">
            <v>Northern</v>
          </cell>
          <cell r="K502">
            <v>0</v>
          </cell>
          <cell r="L502" t="str">
            <v>BDO</v>
          </cell>
        </row>
        <row r="503">
          <cell r="F503">
            <v>8783774</v>
          </cell>
          <cell r="G503" t="str">
            <v>Federation</v>
          </cell>
          <cell r="H503" t="str">
            <v xml:space="preserve">Teignmouth Learning Trust </v>
          </cell>
          <cell r="I503" t="str">
            <v xml:space="preserve">Inverteign Community Nursery and Primary School </v>
          </cell>
          <cell r="J503" t="str">
            <v>Western</v>
          </cell>
          <cell r="K503">
            <v>0</v>
          </cell>
          <cell r="L503" t="str">
            <v>BDO</v>
          </cell>
        </row>
        <row r="504">
          <cell r="F504">
            <v>8784120</v>
          </cell>
          <cell r="G504" t="str">
            <v>Federation</v>
          </cell>
          <cell r="H504" t="str">
            <v xml:space="preserve">Teignmouth Learning Trust </v>
          </cell>
          <cell r="I504" t="str">
            <v xml:space="preserve">Teignmouth Community College </v>
          </cell>
          <cell r="J504" t="str">
            <v>Western</v>
          </cell>
          <cell r="K504">
            <v>0</v>
          </cell>
          <cell r="L504" t="str">
            <v>BDO</v>
          </cell>
        </row>
        <row r="505">
          <cell r="F505">
            <v>8784112</v>
          </cell>
          <cell r="G505" t="str">
            <v>Federation</v>
          </cell>
          <cell r="H505" t="str">
            <v xml:space="preserve">Templer Academy Trust </v>
          </cell>
          <cell r="I505" t="str">
            <v>Coombeshead College</v>
          </cell>
          <cell r="J505" t="str">
            <v>Western</v>
          </cell>
          <cell r="K505">
            <v>0</v>
          </cell>
          <cell r="L505" t="str">
            <v>BDO</v>
          </cell>
        </row>
        <row r="506">
          <cell r="F506">
            <v>8785402</v>
          </cell>
          <cell r="G506" t="str">
            <v>Federation</v>
          </cell>
          <cell r="H506" t="str">
            <v xml:space="preserve">Templer Academy Trust </v>
          </cell>
          <cell r="I506" t="str">
            <v>Teign School</v>
          </cell>
          <cell r="J506" t="str">
            <v>Western</v>
          </cell>
          <cell r="K506">
            <v>0</v>
          </cell>
          <cell r="L506" t="str">
            <v>BDO</v>
          </cell>
        </row>
        <row r="507">
          <cell r="F507">
            <v>8865421</v>
          </cell>
          <cell r="G507" t="str">
            <v>Federation</v>
          </cell>
          <cell r="H507" t="str">
            <v>The Canterbury Academy</v>
          </cell>
          <cell r="I507" t="str">
            <v>The Canterbury Academy (in federation with The Canterbury Primary School)</v>
          </cell>
          <cell r="J507" t="str">
            <v>Southern</v>
          </cell>
          <cell r="K507">
            <v>0</v>
          </cell>
          <cell r="L507" t="str">
            <v>BDO</v>
          </cell>
        </row>
        <row r="508">
          <cell r="F508">
            <v>8862654</v>
          </cell>
          <cell r="G508" t="str">
            <v>Federation</v>
          </cell>
          <cell r="H508" t="str">
            <v>The Canterbury Academy</v>
          </cell>
          <cell r="I508" t="str">
            <v>The Canterbury Primary School (in federation with The Canterbury High School)</v>
          </cell>
          <cell r="J508" t="str">
            <v>Southern</v>
          </cell>
          <cell r="K508">
            <v>0</v>
          </cell>
          <cell r="L508" t="str">
            <v>BDO</v>
          </cell>
        </row>
        <row r="509">
          <cell r="F509">
            <v>9376905</v>
          </cell>
          <cell r="G509" t="str">
            <v>Individual</v>
          </cell>
          <cell r="H509" t="str">
            <v xml:space="preserve">The Midlands Academies Trust </v>
          </cell>
          <cell r="I509" t="str">
            <v>Nuneaton Academy</v>
          </cell>
          <cell r="J509" t="str">
            <v>Western</v>
          </cell>
          <cell r="K509">
            <v>0</v>
          </cell>
          <cell r="L509" t="str">
            <v>BDO</v>
          </cell>
        </row>
        <row r="510">
          <cell r="F510">
            <v>8886905</v>
          </cell>
          <cell r="G510" t="str">
            <v>Federation</v>
          </cell>
          <cell r="H510" t="str">
            <v>ULT</v>
          </cell>
          <cell r="I510" t="str">
            <v>Accrington Academy (ULT)</v>
          </cell>
          <cell r="J510" t="str">
            <v>Southern</v>
          </cell>
          <cell r="K510">
            <v>0</v>
          </cell>
          <cell r="L510" t="str">
            <v>BDO</v>
          </cell>
        </row>
        <row r="511">
          <cell r="F511">
            <v>3706905</v>
          </cell>
          <cell r="G511" t="str">
            <v>Federation</v>
          </cell>
          <cell r="H511" t="str">
            <v>ULT</v>
          </cell>
          <cell r="I511" t="str">
            <v>Barnsley Academy (ULT)</v>
          </cell>
          <cell r="J511" t="str">
            <v>Southern</v>
          </cell>
          <cell r="K511">
            <v>0</v>
          </cell>
          <cell r="L511" t="str">
            <v>BDO</v>
          </cell>
        </row>
        <row r="512">
          <cell r="F512">
            <v>9286908</v>
          </cell>
          <cell r="G512" t="str">
            <v>Federation</v>
          </cell>
          <cell r="H512" t="str">
            <v>ULT</v>
          </cell>
          <cell r="I512" t="str">
            <v>Kettering Buccleuch Academy (ULT)</v>
          </cell>
          <cell r="J512" t="str">
            <v>Southern</v>
          </cell>
          <cell r="K512">
            <v>0</v>
          </cell>
          <cell r="L512" t="str">
            <v>BDO</v>
          </cell>
        </row>
        <row r="513">
          <cell r="F513">
            <v>2086905</v>
          </cell>
          <cell r="G513" t="str">
            <v>Federation</v>
          </cell>
          <cell r="H513" t="str">
            <v>ULT</v>
          </cell>
          <cell r="I513" t="str">
            <v>Lambeth Academy (ULT)</v>
          </cell>
          <cell r="J513" t="str">
            <v>Southern</v>
          </cell>
          <cell r="K513">
            <v>0</v>
          </cell>
          <cell r="L513" t="str">
            <v>BDO</v>
          </cell>
        </row>
        <row r="514">
          <cell r="F514">
            <v>3526905</v>
          </cell>
          <cell r="G514" t="str">
            <v>Federation</v>
          </cell>
          <cell r="H514" t="str">
            <v>ULT</v>
          </cell>
          <cell r="I514" t="str">
            <v>Manchester Academy (ULT)</v>
          </cell>
          <cell r="J514" t="str">
            <v>Southern</v>
          </cell>
          <cell r="K514">
            <v>0</v>
          </cell>
          <cell r="L514" t="str">
            <v>BDO</v>
          </cell>
        </row>
        <row r="515">
          <cell r="F515">
            <v>9386913</v>
          </cell>
          <cell r="G515" t="str">
            <v>Federation</v>
          </cell>
          <cell r="H515" t="str">
            <v>ULT</v>
          </cell>
          <cell r="I515" t="str">
            <v>Midhurst Rother College (ULT)</v>
          </cell>
          <cell r="J515" t="str">
            <v>Southern</v>
          </cell>
          <cell r="K515">
            <v>0</v>
          </cell>
          <cell r="L515" t="str">
            <v>BDO</v>
          </cell>
        </row>
        <row r="516">
          <cell r="F516">
            <v>9316905</v>
          </cell>
          <cell r="G516" t="str">
            <v>Federation</v>
          </cell>
          <cell r="H516" t="str">
            <v>ULT</v>
          </cell>
          <cell r="I516" t="str">
            <v>North Oxfordshire Academy (ULT)</v>
          </cell>
          <cell r="J516" t="str">
            <v>Southern</v>
          </cell>
          <cell r="K516">
            <v>0</v>
          </cell>
          <cell r="L516" t="str">
            <v>BDO</v>
          </cell>
        </row>
        <row r="517">
          <cell r="F517">
            <v>9286905</v>
          </cell>
          <cell r="G517" t="str">
            <v>Federation</v>
          </cell>
          <cell r="H517" t="str">
            <v>ULT</v>
          </cell>
          <cell r="I517" t="str">
            <v>Northampton Academy (ULT)</v>
          </cell>
          <cell r="J517" t="str">
            <v>Southern</v>
          </cell>
          <cell r="K517">
            <v>0</v>
          </cell>
          <cell r="L517" t="str">
            <v>BDO</v>
          </cell>
        </row>
        <row r="518">
          <cell r="F518">
            <v>2136905</v>
          </cell>
          <cell r="G518" t="str">
            <v>Federation</v>
          </cell>
          <cell r="H518" t="str">
            <v>ULT</v>
          </cell>
          <cell r="I518" t="str">
            <v>Paddington Academy (ULT)</v>
          </cell>
          <cell r="J518" t="str">
            <v>Southern</v>
          </cell>
          <cell r="K518">
            <v>0</v>
          </cell>
          <cell r="L518" t="str">
            <v>BDO</v>
          </cell>
        </row>
        <row r="519">
          <cell r="F519">
            <v>9384005</v>
          </cell>
          <cell r="G519" t="str">
            <v>Federation</v>
          </cell>
          <cell r="H519" t="str">
            <v>ULT</v>
          </cell>
          <cell r="I519" t="str">
            <v>Regis School</v>
          </cell>
          <cell r="J519" t="str">
            <v>Southern</v>
          </cell>
          <cell r="K519">
            <v>0</v>
          </cell>
          <cell r="L519" t="str">
            <v>BDO</v>
          </cell>
        </row>
        <row r="520">
          <cell r="F520">
            <v>3556905</v>
          </cell>
          <cell r="G520" t="str">
            <v>Federation</v>
          </cell>
          <cell r="H520" t="str">
            <v>ULT</v>
          </cell>
          <cell r="I520" t="str">
            <v>Salford City Academy (ULT)</v>
          </cell>
          <cell r="J520" t="str">
            <v>Southern</v>
          </cell>
          <cell r="K520">
            <v>0</v>
          </cell>
          <cell r="L520" t="str">
            <v>BDO</v>
          </cell>
        </row>
        <row r="521">
          <cell r="F521">
            <v>3736905</v>
          </cell>
          <cell r="G521" t="str">
            <v>Federation</v>
          </cell>
          <cell r="H521" t="str">
            <v>ULT</v>
          </cell>
          <cell r="I521" t="str">
            <v>Sheffield Park Academy (ULT)</v>
          </cell>
          <cell r="J521" t="str">
            <v>Southern</v>
          </cell>
          <cell r="K521">
            <v>0</v>
          </cell>
          <cell r="L521" t="str">
            <v>BDO</v>
          </cell>
        </row>
        <row r="522">
          <cell r="F522">
            <v>3736906</v>
          </cell>
          <cell r="G522" t="str">
            <v>Federation</v>
          </cell>
          <cell r="H522" t="str">
            <v>ULT</v>
          </cell>
          <cell r="I522" t="str">
            <v>Sheffield Springs Academy (ULT)</v>
          </cell>
          <cell r="J522" t="str">
            <v>Southern</v>
          </cell>
          <cell r="K522">
            <v>0</v>
          </cell>
          <cell r="L522" t="str">
            <v>BDO</v>
          </cell>
        </row>
        <row r="523">
          <cell r="F523">
            <v>9386914</v>
          </cell>
          <cell r="G523" t="str">
            <v>Federation</v>
          </cell>
          <cell r="H523" t="str">
            <v>ULT</v>
          </cell>
          <cell r="I523" t="str">
            <v>Shoreham Academy (ULT)</v>
          </cell>
          <cell r="J523" t="str">
            <v>Southern</v>
          </cell>
          <cell r="K523">
            <v>0</v>
          </cell>
          <cell r="L523" t="str">
            <v>BDO</v>
          </cell>
        </row>
        <row r="524">
          <cell r="F524">
            <v>3566905</v>
          </cell>
          <cell r="G524" t="str">
            <v>Federation</v>
          </cell>
          <cell r="H524" t="str">
            <v>ULT</v>
          </cell>
          <cell r="I524" t="str">
            <v>Stockport Academy (ULT)</v>
          </cell>
          <cell r="J524" t="str">
            <v>Southern</v>
          </cell>
          <cell r="K524">
            <v>0</v>
          </cell>
          <cell r="L524" t="str">
            <v>BDO</v>
          </cell>
        </row>
        <row r="525">
          <cell r="F525">
            <v>8666905</v>
          </cell>
          <cell r="G525" t="str">
            <v>Federation</v>
          </cell>
          <cell r="H525" t="str">
            <v>ULT</v>
          </cell>
          <cell r="I525" t="str">
            <v>Swindon Academy (ULT)</v>
          </cell>
          <cell r="J525" t="str">
            <v>Southern</v>
          </cell>
          <cell r="K525">
            <v>0</v>
          </cell>
          <cell r="L525" t="str">
            <v>BDO</v>
          </cell>
        </row>
        <row r="526">
          <cell r="F526">
            <v>3206905</v>
          </cell>
          <cell r="G526" t="str">
            <v>Federation</v>
          </cell>
          <cell r="H526" t="str">
            <v>ULT</v>
          </cell>
          <cell r="I526" t="str">
            <v>Walthamstow Academy (ULT)</v>
          </cell>
          <cell r="J526" t="str">
            <v>Southern</v>
          </cell>
          <cell r="K526">
            <v>0</v>
          </cell>
          <cell r="L526" t="str">
            <v>BDO</v>
          </cell>
        </row>
        <row r="527">
          <cell r="F527">
            <v>3526907</v>
          </cell>
          <cell r="G527" t="str">
            <v>Federation</v>
          </cell>
          <cell r="H527" t="str">
            <v>ULT</v>
          </cell>
          <cell r="I527" t="str">
            <v>William Hulme's Grammar School (ULT)</v>
          </cell>
          <cell r="J527" t="str">
            <v>Southern</v>
          </cell>
          <cell r="K527">
            <v>0</v>
          </cell>
          <cell r="L527" t="str">
            <v>BDO</v>
          </cell>
        </row>
        <row r="528">
          <cell r="F528">
            <v>9254017</v>
          </cell>
          <cell r="G528">
            <v>0</v>
          </cell>
          <cell r="H528" t="str">
            <v>West Grantham Academies Trust</v>
          </cell>
          <cell r="I528" t="str">
            <v>The Charles Read Academy (part of The West Grantham Academies Trust)</v>
          </cell>
          <cell r="J528" t="str">
            <v>Eastern</v>
          </cell>
          <cell r="K528">
            <v>0</v>
          </cell>
          <cell r="L528" t="str">
            <v>BDO</v>
          </cell>
        </row>
        <row r="529">
          <cell r="F529">
            <v>9255230</v>
          </cell>
          <cell r="G529">
            <v>0</v>
          </cell>
          <cell r="H529" t="str">
            <v>West Grantham Academies Trust</v>
          </cell>
          <cell r="I529" t="str">
            <v>The West Grantham Academy Earl of Dysart (part of The West Grantham Academies Trust)</v>
          </cell>
          <cell r="J529" t="str">
            <v>Eastern</v>
          </cell>
          <cell r="K529">
            <v>0</v>
          </cell>
          <cell r="L529" t="str">
            <v>BDO</v>
          </cell>
        </row>
        <row r="530">
          <cell r="F530">
            <v>9253027</v>
          </cell>
          <cell r="G530">
            <v>0</v>
          </cell>
          <cell r="H530" t="str">
            <v>West Grantham Academies Trust</v>
          </cell>
          <cell r="I530" t="str">
            <v>The West Grantham Academy Spitalgate (part of The West Grantham Academies Trust)</v>
          </cell>
          <cell r="J530" t="str">
            <v>Eastern</v>
          </cell>
          <cell r="K530">
            <v>0</v>
          </cell>
          <cell r="L530" t="str">
            <v>BDO</v>
          </cell>
        </row>
        <row r="531">
          <cell r="F531">
            <v>9255422</v>
          </cell>
          <cell r="G531">
            <v>0</v>
          </cell>
          <cell r="H531" t="str">
            <v>West Grantham Academies Trust</v>
          </cell>
          <cell r="I531" t="str">
            <v>The West Grantham Academy St Hugh’s (part of The West Grantham Academies Trust)</v>
          </cell>
          <cell r="J531" t="str">
            <v>Eastern</v>
          </cell>
          <cell r="K531">
            <v>0</v>
          </cell>
          <cell r="L531" t="str">
            <v>BDO</v>
          </cell>
        </row>
        <row r="532">
          <cell r="F532">
            <v>8865434</v>
          </cell>
          <cell r="G532" t="str">
            <v>Federation</v>
          </cell>
          <cell r="H532" t="str">
            <v>Westlands Academies Trust</v>
          </cell>
          <cell r="I532" t="str">
            <v>The Westlands School (in federation with Westlands Primary School)</v>
          </cell>
          <cell r="J532" t="str">
            <v>Southern</v>
          </cell>
          <cell r="K532">
            <v>0</v>
          </cell>
          <cell r="L532" t="str">
            <v>BDO</v>
          </cell>
        </row>
        <row r="533">
          <cell r="F533">
            <v>8863912</v>
          </cell>
          <cell r="G533" t="str">
            <v>Federation</v>
          </cell>
          <cell r="H533" t="str">
            <v>Westlands Academies Trust</v>
          </cell>
          <cell r="I533" t="str">
            <v>Westlands Primary School (in federation with The Westlands School)</v>
          </cell>
          <cell r="J533" t="str">
            <v>Southern</v>
          </cell>
          <cell r="K533">
            <v>0</v>
          </cell>
          <cell r="L533" t="str">
            <v>BDO</v>
          </cell>
        </row>
        <row r="534">
          <cell r="F534">
            <v>8844046</v>
          </cell>
          <cell r="G534" t="str">
            <v>Federation</v>
          </cell>
          <cell r="H534" t="str">
            <v>Wigmore Trust</v>
          </cell>
          <cell r="I534" t="str">
            <v>Wigmore High School (in federation with Wigmore Primary School)</v>
          </cell>
          <cell r="J534" t="str">
            <v>Western</v>
          </cell>
          <cell r="K534">
            <v>0</v>
          </cell>
          <cell r="L534" t="str">
            <v>BDO</v>
          </cell>
        </row>
        <row r="535">
          <cell r="F535">
            <v>8842159</v>
          </cell>
          <cell r="G535" t="str">
            <v>Federation</v>
          </cell>
          <cell r="H535" t="str">
            <v>Wigmore Trust</v>
          </cell>
          <cell r="I535" t="str">
            <v>Wigmore Primary School (in federation with Wigmore High School)</v>
          </cell>
          <cell r="J535" t="str">
            <v>Western</v>
          </cell>
          <cell r="K535">
            <v>0</v>
          </cell>
          <cell r="L535" t="str">
            <v>BDO</v>
          </cell>
        </row>
        <row r="536">
          <cell r="F536">
            <v>9386912</v>
          </cell>
          <cell r="G536" t="str">
            <v>Federation</v>
          </cell>
          <cell r="H536" t="str">
            <v xml:space="preserve">Woodard </v>
          </cell>
          <cell r="I536" t="str">
            <v>The Littlehampton Academy</v>
          </cell>
          <cell r="J536" t="str">
            <v>Southern</v>
          </cell>
          <cell r="K536">
            <v>0</v>
          </cell>
          <cell r="L536" t="str">
            <v>BDO</v>
          </cell>
        </row>
        <row r="537">
          <cell r="F537">
            <v>9386911</v>
          </cell>
          <cell r="G537" t="str">
            <v>Federation</v>
          </cell>
          <cell r="H537" t="str">
            <v xml:space="preserve">Woodard </v>
          </cell>
          <cell r="I537" t="str">
            <v>The Sir Robert Woodard Academy</v>
          </cell>
          <cell r="J537" t="str">
            <v>Southern</v>
          </cell>
          <cell r="K537">
            <v>0</v>
          </cell>
          <cell r="L537" t="str">
            <v>BDO</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s"/>
      <sheetName val="Change log"/>
      <sheetName val="Alphabetical"/>
      <sheetName val="Populations"/>
      <sheetName val="Companies"/>
      <sheetName val="MATs"/>
      <sheetName val="Chart1"/>
      <sheetName val="Chart2"/>
      <sheetName val="Chart3"/>
      <sheetName val="Reference"/>
      <sheetName val="Lookupsd"/>
    </sheetNames>
    <sheetDataSet>
      <sheetData sheetId="0"/>
      <sheetData sheetId="1"/>
      <sheetData sheetId="2"/>
      <sheetData sheetId="3"/>
      <sheetData sheetId="4"/>
      <sheetData sheetId="5"/>
      <sheetData sheetId="6"/>
      <sheetData sheetId="7"/>
      <sheetData sheetId="8"/>
      <sheetData sheetId="9"/>
      <sheetData sheetId="10">
        <row r="4">
          <cell r="D4" t="str">
            <v>Taxonomy</v>
          </cell>
        </row>
        <row r="5">
          <cell r="D5" t="str">
            <v>Taxonomy &amp; location suffix</v>
          </cell>
        </row>
        <row r="6">
          <cell r="D6" t="str">
            <v>Taxonomy &amp; name change</v>
          </cell>
        </row>
        <row r="7">
          <cell r="D7" t="str">
            <v>Taxonomy, location suffix &amp; name change</v>
          </cell>
        </row>
        <row r="8">
          <cell r="D8" t="str">
            <v>Taxonomy, location suffix and school./academy</v>
          </cell>
        </row>
        <row r="9">
          <cell r="D9" t="str">
            <v>Location suffix</v>
          </cell>
        </row>
        <row r="10">
          <cell r="D10" t="str">
            <v>'School'/'academy' swap</v>
          </cell>
        </row>
        <row r="11">
          <cell r="D11" t="str">
            <v>'School'/'academy' swap &amp; location suffix</v>
          </cell>
        </row>
        <row r="12">
          <cell r="D12" t="str">
            <v>MAT prefix/suffix</v>
          </cell>
        </row>
        <row r="13">
          <cell r="D13" t="str">
            <v>Name change</v>
          </cell>
        </row>
        <row r="14">
          <cell r="D14" t="str">
            <v>Name extension</v>
          </cell>
        </row>
        <row r="15">
          <cell r="D15" t="str">
            <v>Acadmey Trust name</v>
          </cell>
        </row>
        <row r="16">
          <cell r="D16" t="str">
            <v>Academy removed from Summariser</v>
          </cell>
        </row>
        <row r="17">
          <cell r="D17"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tinyurl.com/SFVSQ9" TargetMode="External"/><Relationship Id="rId13" Type="http://schemas.openxmlformats.org/officeDocument/2006/relationships/hyperlink" Target="https://tinyurl.com/SFVSQ14" TargetMode="External"/><Relationship Id="rId18" Type="http://schemas.openxmlformats.org/officeDocument/2006/relationships/hyperlink" Target="https://tinyurl.com/SFVSQ20" TargetMode="External"/><Relationship Id="rId26" Type="http://schemas.openxmlformats.org/officeDocument/2006/relationships/hyperlink" Target="https://tinyurl.com/SFVSQ29" TargetMode="External"/><Relationship Id="rId3" Type="http://schemas.openxmlformats.org/officeDocument/2006/relationships/hyperlink" Target="https://tinyurl.com/SFVSQ1" TargetMode="External"/><Relationship Id="rId21" Type="http://schemas.openxmlformats.org/officeDocument/2006/relationships/hyperlink" Target="https://tinyurl.com/SFVSQ23" TargetMode="External"/><Relationship Id="rId7" Type="http://schemas.openxmlformats.org/officeDocument/2006/relationships/hyperlink" Target="https://tinyurl.com/SFVSQ6" TargetMode="External"/><Relationship Id="rId12" Type="http://schemas.openxmlformats.org/officeDocument/2006/relationships/hyperlink" Target="https://tinyurl.com/SFVSQ13" TargetMode="External"/><Relationship Id="rId17" Type="http://schemas.openxmlformats.org/officeDocument/2006/relationships/hyperlink" Target="https://tinyurl.com/SFVSQ19" TargetMode="External"/><Relationship Id="rId25" Type="http://schemas.openxmlformats.org/officeDocument/2006/relationships/hyperlink" Target="https://tinyurl.com/SFVSQ27" TargetMode="External"/><Relationship Id="rId2" Type="http://schemas.openxmlformats.org/officeDocument/2006/relationships/hyperlink" Target="https://tinyurl.com/SFVSQ8" TargetMode="External"/><Relationship Id="rId16" Type="http://schemas.openxmlformats.org/officeDocument/2006/relationships/hyperlink" Target="https://tinyurl.com/SFVSQ18" TargetMode="External"/><Relationship Id="rId20" Type="http://schemas.openxmlformats.org/officeDocument/2006/relationships/hyperlink" Target="https://tinyurl.com/SFVSQ22" TargetMode="External"/><Relationship Id="rId29" Type="http://schemas.openxmlformats.org/officeDocument/2006/relationships/hyperlink" Target="https://tinyurl.com/SFVSQ28a" TargetMode="External"/><Relationship Id="rId1" Type="http://schemas.openxmlformats.org/officeDocument/2006/relationships/hyperlink" Target="https://tinyurl.com/SFVSQ7" TargetMode="External"/><Relationship Id="rId6" Type="http://schemas.openxmlformats.org/officeDocument/2006/relationships/hyperlink" Target="https://tinyurl.com/SFVSQ5" TargetMode="External"/><Relationship Id="rId11" Type="http://schemas.openxmlformats.org/officeDocument/2006/relationships/hyperlink" Target="https://tinyurl.com/SFVSQ12" TargetMode="External"/><Relationship Id="rId24" Type="http://schemas.openxmlformats.org/officeDocument/2006/relationships/hyperlink" Target="https://tinyurl.com/SFVSQ26" TargetMode="External"/><Relationship Id="rId5" Type="http://schemas.openxmlformats.org/officeDocument/2006/relationships/hyperlink" Target="https://tinyurl.com/SFVSQ4" TargetMode="External"/><Relationship Id="rId15" Type="http://schemas.openxmlformats.org/officeDocument/2006/relationships/hyperlink" Target="https://tinyurl.com/SFVSQ17" TargetMode="External"/><Relationship Id="rId23" Type="http://schemas.openxmlformats.org/officeDocument/2006/relationships/hyperlink" Target="https://tinyurl.com/SFVSQ25" TargetMode="External"/><Relationship Id="rId28" Type="http://schemas.openxmlformats.org/officeDocument/2006/relationships/hyperlink" Target="https://tinyurl.com/SFVSQ16" TargetMode="External"/><Relationship Id="rId10" Type="http://schemas.openxmlformats.org/officeDocument/2006/relationships/hyperlink" Target="https://tinyurl.com/SFVSQ11" TargetMode="External"/><Relationship Id="rId19" Type="http://schemas.openxmlformats.org/officeDocument/2006/relationships/hyperlink" Target="https://tinyurl.com/SFVSQ21" TargetMode="External"/><Relationship Id="rId31" Type="http://schemas.openxmlformats.org/officeDocument/2006/relationships/printerSettings" Target="../printerSettings/printerSettings2.bin"/><Relationship Id="rId4" Type="http://schemas.openxmlformats.org/officeDocument/2006/relationships/hyperlink" Target="https://tinyurl.com/SFVSQ3a" TargetMode="External"/><Relationship Id="rId9" Type="http://schemas.openxmlformats.org/officeDocument/2006/relationships/hyperlink" Target="https://tinyurl.com/SFVSQ10" TargetMode="External"/><Relationship Id="rId14" Type="http://schemas.openxmlformats.org/officeDocument/2006/relationships/hyperlink" Target="https://tinyurl.com/SFVSQ15" TargetMode="External"/><Relationship Id="rId22" Type="http://schemas.openxmlformats.org/officeDocument/2006/relationships/hyperlink" Target="https://tinyurl.com/SFVSQ24" TargetMode="External"/><Relationship Id="rId27" Type="http://schemas.openxmlformats.org/officeDocument/2006/relationships/hyperlink" Target="https://tinyurl.com/SFVSQ2" TargetMode="External"/><Relationship Id="rId30" Type="http://schemas.openxmlformats.org/officeDocument/2006/relationships/hyperlink" Target="https://gov.uk/government/publications/schools-financial-value-standard-sfvs/2019-to-2020-checklist-guidanc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gov.uk/government/publications/schools-financial-value-standard-sfvs/2019-to-2020-dashboard-guidance" TargetMode="External"/><Relationship Id="rId13" Type="http://schemas.openxmlformats.org/officeDocument/2006/relationships/hyperlink" Target="https://gov.uk/government/publications/schools-financial-value-standard-sfvs/2019-to-2020-dashboard-guidance" TargetMode="External"/><Relationship Id="rId18" Type="http://schemas.openxmlformats.org/officeDocument/2006/relationships/hyperlink" Target="https://gov.uk/government/publications/schools-financial-value-standard-sfvs/2019-to-2020-dashboard-guidance" TargetMode="External"/><Relationship Id="rId26" Type="http://schemas.openxmlformats.org/officeDocument/2006/relationships/hyperlink" Target="https://gov.uk/government/publications/schools-financial-value-standard-sfvs/2019-to-2020-dashboard-guidance" TargetMode="External"/><Relationship Id="rId3" Type="http://schemas.openxmlformats.org/officeDocument/2006/relationships/hyperlink" Target="https://gov.uk/government/publications/schools-financial-value-standard-sfvs/2019-to-2020-dashboard-guidance" TargetMode="External"/><Relationship Id="rId21" Type="http://schemas.openxmlformats.org/officeDocument/2006/relationships/hyperlink" Target="https://gov.uk/government/publications/schools-financial-value-standard-sfvs/2019-to-2020-dashboard-guidance" TargetMode="External"/><Relationship Id="rId7" Type="http://schemas.openxmlformats.org/officeDocument/2006/relationships/hyperlink" Target="https://gov.uk/government/publications/schools-financial-value-standard-sfvs/2019-to-2020-dashboard-guidance" TargetMode="External"/><Relationship Id="rId12" Type="http://schemas.openxmlformats.org/officeDocument/2006/relationships/hyperlink" Target="https://gov.uk/government/publications/schools-financial-value-standard-sfvs/2019-to-2020-dashboard-guidance" TargetMode="External"/><Relationship Id="rId17" Type="http://schemas.openxmlformats.org/officeDocument/2006/relationships/hyperlink" Target="https://gov.uk/government/publications/schools-financial-value-standard-sfvs/2019-to-2020-dashboard-guidance" TargetMode="External"/><Relationship Id="rId25" Type="http://schemas.openxmlformats.org/officeDocument/2006/relationships/hyperlink" Target="https://gov.uk/government/publications/schools-financial-value-standard-sfvs/2019-to-2020-dashboard-guidance" TargetMode="External"/><Relationship Id="rId2" Type="http://schemas.openxmlformats.org/officeDocument/2006/relationships/hyperlink" Target="https://gov.uk/government/publications/schools-financial-value-standard-sfvs/2019-to-2020-dashboard-guidance" TargetMode="External"/><Relationship Id="rId16" Type="http://schemas.openxmlformats.org/officeDocument/2006/relationships/hyperlink" Target="https://gov.uk/government/publications/schools-financial-value-standard-sfvs/2019-to-2020-dashboard-guidance" TargetMode="External"/><Relationship Id="rId20" Type="http://schemas.openxmlformats.org/officeDocument/2006/relationships/hyperlink" Target="https://gov.uk/government/publications/schools-financial-value-standard-sfvs/2019-to-2020-dashboard-guidance" TargetMode="External"/><Relationship Id="rId29" Type="http://schemas.openxmlformats.org/officeDocument/2006/relationships/drawing" Target="../drawings/drawing1.xml"/><Relationship Id="rId1" Type="http://schemas.openxmlformats.org/officeDocument/2006/relationships/hyperlink" Target="https://gov.uk/government/publications/schools-financial-value-standard-sfvs/2019-to-2020-dashboard-guidance" TargetMode="External"/><Relationship Id="rId6" Type="http://schemas.openxmlformats.org/officeDocument/2006/relationships/hyperlink" Target="https://www.gov.uk/government/publications/school-resource-management-self-assessment-tool/dashboard-support-notes" TargetMode="External"/><Relationship Id="rId11" Type="http://schemas.openxmlformats.org/officeDocument/2006/relationships/hyperlink" Target="https://gov.uk/government/publications/schools-financial-value-standard-sfvs/2019-to-2020-dashboard-guidance" TargetMode="External"/><Relationship Id="rId24" Type="http://schemas.openxmlformats.org/officeDocument/2006/relationships/hyperlink" Target="https://gov.uk/government/publications/schools-financial-value-standard-sfvs/2019-to-2020-dashboard-guidance" TargetMode="External"/><Relationship Id="rId5" Type="http://schemas.openxmlformats.org/officeDocument/2006/relationships/hyperlink" Target="https://www.gov.uk/government/publications/school-resource-management-self-assessment-tool/dashboard-support-notes" TargetMode="External"/><Relationship Id="rId15" Type="http://schemas.openxmlformats.org/officeDocument/2006/relationships/hyperlink" Target="https://gov.uk/government/publications/schools-financial-value-standard-sfvs/2019-to-2020-dashboard-guidance" TargetMode="External"/><Relationship Id="rId23" Type="http://schemas.openxmlformats.org/officeDocument/2006/relationships/hyperlink" Target="https://gov.uk/government/publications/schools-financial-value-standard-sfvs/2019-to-2020-dashboard-guidance" TargetMode="External"/><Relationship Id="rId28" Type="http://schemas.openxmlformats.org/officeDocument/2006/relationships/printerSettings" Target="../printerSettings/printerSettings3.bin"/><Relationship Id="rId10" Type="http://schemas.openxmlformats.org/officeDocument/2006/relationships/hyperlink" Target="https://gov.uk/government/publications/schools-financial-value-standard-sfvs/2019-to-2020-dashboard-guidance" TargetMode="External"/><Relationship Id="rId19" Type="http://schemas.openxmlformats.org/officeDocument/2006/relationships/hyperlink" Target="https://gov.uk/government/publications/schools-financial-value-standard-sfvs/2019-to-2020-dashboard-guidance" TargetMode="External"/><Relationship Id="rId4" Type="http://schemas.openxmlformats.org/officeDocument/2006/relationships/hyperlink" Target="https://gov.uk/government/publications/schools-financial-value-standard-sfvs/2019-to-2020-dashboard-guidance" TargetMode="External"/><Relationship Id="rId9" Type="http://schemas.openxmlformats.org/officeDocument/2006/relationships/hyperlink" Target="https://gov.uk/government/publications/schools-financial-value-standard-sfvs/2019-to-2020-dashboard-guidance" TargetMode="External"/><Relationship Id="rId14" Type="http://schemas.openxmlformats.org/officeDocument/2006/relationships/hyperlink" Target="https://gov.uk/government/publications/schools-financial-value-standard-sfvs/2019-to-2020-dashboard-guidance" TargetMode="External"/><Relationship Id="rId22" Type="http://schemas.openxmlformats.org/officeDocument/2006/relationships/hyperlink" Target="https://gov.uk/government/publications/schools-financial-value-standard-sfvs/2019-to-2020-dashboard-guidance" TargetMode="External"/><Relationship Id="rId27" Type="http://schemas.openxmlformats.org/officeDocument/2006/relationships/hyperlink" Target="https://www.gov.uk/government/publications/schools-financial-value-standard-sfvs/2019-to-2020-dashboard-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500B2-60EC-41EE-A0F8-C3761E7B7A1F}">
  <sheetPr codeName="Sheet1">
    <tabColor theme="0"/>
    <pageSetUpPr fitToPage="1"/>
  </sheetPr>
  <dimension ref="A1:X23"/>
  <sheetViews>
    <sheetView showGridLines="0" tabSelected="1" topLeftCell="A8" zoomScale="90" zoomScaleNormal="90" workbookViewId="0">
      <selection activeCell="C13" sqref="C13:T13"/>
    </sheetView>
  </sheetViews>
  <sheetFormatPr defaultColWidth="0" defaultRowHeight="0" customHeight="1" zeroHeight="1" x14ac:dyDescent="0.2"/>
  <cols>
    <col min="1" max="1" width="8" style="1" customWidth="1"/>
    <col min="2" max="2" width="2.5703125" style="1" customWidth="1"/>
    <col min="3" max="3" width="3.28515625" style="1" customWidth="1"/>
    <col min="4" max="11" width="9" style="1" customWidth="1"/>
    <col min="12" max="12" width="10.5703125" style="1" customWidth="1"/>
    <col min="13" max="13" width="9" style="1" customWidth="1"/>
    <col min="14" max="18" width="10.140625" style="1" customWidth="1"/>
    <col min="19" max="20" width="9" style="1" customWidth="1"/>
    <col min="21" max="21" width="2.5703125" style="1" customWidth="1"/>
    <col min="22" max="22" width="7.5703125" style="1" customWidth="1"/>
    <col min="23" max="16384" width="9" style="1" hidden="1"/>
  </cols>
  <sheetData>
    <row r="1" spans="2:21" ht="14.25" customHeight="1" thickBot="1" x14ac:dyDescent="0.25"/>
    <row r="2" spans="2:21" ht="14.25" x14ac:dyDescent="0.2">
      <c r="B2" s="2"/>
      <c r="C2" s="3"/>
      <c r="D2" s="3"/>
      <c r="E2" s="3"/>
      <c r="F2" s="3"/>
      <c r="G2" s="3"/>
      <c r="H2" s="3"/>
      <c r="I2" s="3"/>
      <c r="J2" s="3"/>
      <c r="K2" s="3"/>
      <c r="L2" s="3"/>
      <c r="M2" s="3"/>
      <c r="N2" s="3"/>
      <c r="O2" s="3"/>
      <c r="P2" s="3"/>
      <c r="Q2" s="3"/>
      <c r="R2" s="3"/>
      <c r="S2" s="3"/>
      <c r="T2" s="3"/>
      <c r="U2" s="4"/>
    </row>
    <row r="3" spans="2:21" ht="20.25" x14ac:dyDescent="0.2">
      <c r="B3" s="6"/>
      <c r="C3" s="248" t="s">
        <v>350</v>
      </c>
      <c r="D3" s="248"/>
      <c r="E3" s="248"/>
      <c r="F3" s="248"/>
      <c r="G3" s="248"/>
      <c r="H3" s="248"/>
      <c r="I3" s="248"/>
      <c r="J3" s="248"/>
      <c r="K3" s="248"/>
      <c r="L3" s="248"/>
      <c r="M3" s="248"/>
      <c r="N3" s="248"/>
      <c r="O3" s="248"/>
      <c r="P3" s="248"/>
      <c r="Q3" s="248"/>
      <c r="R3" s="248"/>
      <c r="S3" s="248"/>
      <c r="T3" s="248"/>
      <c r="U3" s="7"/>
    </row>
    <row r="4" spans="2:21" ht="14.25" x14ac:dyDescent="0.2">
      <c r="B4" s="6"/>
      <c r="U4" s="7"/>
    </row>
    <row r="5" spans="2:21" s="34" customFormat="1" ht="88.5" customHeight="1" x14ac:dyDescent="0.25">
      <c r="B5" s="32"/>
      <c r="C5" s="249" t="s">
        <v>239</v>
      </c>
      <c r="D5" s="250"/>
      <c r="E5" s="250"/>
      <c r="F5" s="250"/>
      <c r="G5" s="250"/>
      <c r="H5" s="250"/>
      <c r="I5" s="250"/>
      <c r="J5" s="250"/>
      <c r="K5" s="250"/>
      <c r="L5" s="250"/>
      <c r="M5" s="250"/>
      <c r="N5" s="250"/>
      <c r="O5" s="250"/>
      <c r="P5" s="250"/>
      <c r="Q5" s="250"/>
      <c r="R5" s="250"/>
      <c r="S5" s="250"/>
      <c r="T5" s="251"/>
      <c r="U5" s="33"/>
    </row>
    <row r="6" spans="2:21" s="34" customFormat="1" ht="31.35" customHeight="1" x14ac:dyDescent="0.25">
      <c r="B6" s="32"/>
      <c r="C6" s="252" t="s">
        <v>240</v>
      </c>
      <c r="D6" s="253"/>
      <c r="E6" s="253"/>
      <c r="F6" s="253"/>
      <c r="G6" s="253"/>
      <c r="H6" s="253"/>
      <c r="I6" s="253"/>
      <c r="J6" s="253"/>
      <c r="K6" s="253"/>
      <c r="L6" s="253"/>
      <c r="M6" s="253"/>
      <c r="N6" s="253"/>
      <c r="O6" s="253"/>
      <c r="P6" s="253"/>
      <c r="Q6" s="253"/>
      <c r="R6" s="253"/>
      <c r="S6" s="253"/>
      <c r="T6" s="254"/>
      <c r="U6" s="33"/>
    </row>
    <row r="7" spans="2:21" ht="40.5" customHeight="1" x14ac:dyDescent="0.2">
      <c r="B7" s="6"/>
      <c r="C7" s="255" t="s">
        <v>241</v>
      </c>
      <c r="D7" s="256"/>
      <c r="E7" s="256"/>
      <c r="F7" s="256"/>
      <c r="G7" s="256"/>
      <c r="H7" s="256"/>
      <c r="I7" s="256"/>
      <c r="J7" s="256"/>
      <c r="K7" s="256"/>
      <c r="L7" s="256"/>
      <c r="M7" s="256"/>
      <c r="N7" s="256"/>
      <c r="O7" s="256"/>
      <c r="P7" s="256"/>
      <c r="Q7" s="256"/>
      <c r="R7" s="256"/>
      <c r="S7" s="256"/>
      <c r="T7" s="257"/>
      <c r="U7" s="7"/>
    </row>
    <row r="8" spans="2:21" ht="15" x14ac:dyDescent="0.2">
      <c r="B8" s="6"/>
      <c r="C8" s="193"/>
      <c r="D8" s="193"/>
      <c r="E8" s="193"/>
      <c r="F8" s="193"/>
      <c r="G8" s="193"/>
      <c r="H8" s="193"/>
      <c r="I8" s="193"/>
      <c r="J8" s="193"/>
      <c r="K8" s="193"/>
      <c r="L8" s="193"/>
      <c r="M8" s="193"/>
      <c r="N8" s="193"/>
      <c r="O8" s="193"/>
      <c r="P8" s="193"/>
      <c r="Q8" s="193"/>
      <c r="R8" s="193"/>
      <c r="S8" s="193"/>
      <c r="T8" s="193"/>
      <c r="U8" s="7"/>
    </row>
    <row r="9" spans="2:21" ht="14.25" x14ac:dyDescent="0.2">
      <c r="B9" s="6"/>
      <c r="U9" s="7"/>
    </row>
    <row r="10" spans="2:21" ht="24.75" customHeight="1" x14ac:dyDescent="0.2">
      <c r="B10" s="6"/>
      <c r="C10" s="248" t="s">
        <v>242</v>
      </c>
      <c r="D10" s="248"/>
      <c r="E10" s="248"/>
      <c r="F10" s="248"/>
      <c r="G10" s="248"/>
      <c r="H10" s="248"/>
      <c r="I10" s="248"/>
      <c r="J10" s="248"/>
      <c r="K10" s="248"/>
      <c r="L10" s="248"/>
      <c r="M10" s="248"/>
      <c r="N10" s="248"/>
      <c r="O10" s="248"/>
      <c r="P10" s="248"/>
      <c r="Q10" s="248"/>
      <c r="R10" s="248"/>
      <c r="S10" s="248"/>
      <c r="T10" s="248"/>
      <c r="U10" s="7"/>
    </row>
    <row r="11" spans="2:21" ht="14.25" x14ac:dyDescent="0.2">
      <c r="B11" s="6"/>
      <c r="U11" s="7"/>
    </row>
    <row r="12" spans="2:21" ht="15.75" x14ac:dyDescent="0.25">
      <c r="B12" s="6"/>
      <c r="C12" s="245" t="s">
        <v>165</v>
      </c>
      <c r="D12" s="246"/>
      <c r="E12" s="246"/>
      <c r="F12" s="246"/>
      <c r="G12" s="246"/>
      <c r="H12" s="246"/>
      <c r="I12" s="246"/>
      <c r="J12" s="246"/>
      <c r="K12" s="246"/>
      <c r="L12" s="246"/>
      <c r="M12" s="246"/>
      <c r="N12" s="246"/>
      <c r="O12" s="246"/>
      <c r="P12" s="246"/>
      <c r="Q12" s="246"/>
      <c r="R12" s="246"/>
      <c r="S12" s="246"/>
      <c r="T12" s="247"/>
      <c r="U12" s="7"/>
    </row>
    <row r="13" spans="2:21" ht="282" customHeight="1" x14ac:dyDescent="0.2">
      <c r="B13" s="6"/>
      <c r="C13" s="241" t="s">
        <v>395</v>
      </c>
      <c r="D13" s="242"/>
      <c r="E13" s="242"/>
      <c r="F13" s="242"/>
      <c r="G13" s="242"/>
      <c r="H13" s="242"/>
      <c r="I13" s="242"/>
      <c r="J13" s="242"/>
      <c r="K13" s="242"/>
      <c r="L13" s="242"/>
      <c r="M13" s="242"/>
      <c r="N13" s="242"/>
      <c r="O13" s="242"/>
      <c r="P13" s="242"/>
      <c r="Q13" s="242"/>
      <c r="R13" s="242"/>
      <c r="S13" s="242"/>
      <c r="T13" s="243"/>
      <c r="U13" s="7"/>
    </row>
    <row r="14" spans="2:21" ht="14.65" customHeight="1" x14ac:dyDescent="0.2">
      <c r="B14" s="6"/>
      <c r="U14" s="7"/>
    </row>
    <row r="15" spans="2:21" ht="15.6" customHeight="1" x14ac:dyDescent="0.2">
      <c r="B15" s="6"/>
      <c r="C15" s="234" t="s">
        <v>55</v>
      </c>
      <c r="D15" s="235"/>
      <c r="E15" s="235"/>
      <c r="F15" s="235"/>
      <c r="G15" s="235"/>
      <c r="H15" s="235"/>
      <c r="I15" s="235"/>
      <c r="J15" s="235"/>
      <c r="K15" s="236"/>
      <c r="L15" s="237" t="s">
        <v>392</v>
      </c>
      <c r="M15" s="238"/>
      <c r="N15" s="239"/>
      <c r="O15" s="244" t="s">
        <v>243</v>
      </c>
      <c r="P15" s="244"/>
      <c r="Q15" s="244"/>
      <c r="R15" s="244"/>
      <c r="S15" s="244"/>
      <c r="U15" s="7"/>
    </row>
    <row r="16" spans="2:21" ht="15.6" customHeight="1" x14ac:dyDescent="0.2">
      <c r="B16" s="6"/>
      <c r="C16" s="194"/>
      <c r="D16" s="194"/>
      <c r="E16" s="195"/>
      <c r="U16" s="7"/>
    </row>
    <row r="17" spans="2:24" ht="15.6" customHeight="1" x14ac:dyDescent="0.2">
      <c r="B17" s="6"/>
      <c r="C17" s="234" t="s">
        <v>58</v>
      </c>
      <c r="D17" s="235"/>
      <c r="E17" s="235"/>
      <c r="F17" s="235"/>
      <c r="G17" s="235"/>
      <c r="H17" s="235"/>
      <c r="I17" s="235"/>
      <c r="J17" s="235"/>
      <c r="K17" s="236"/>
      <c r="L17" s="237"/>
      <c r="M17" s="238"/>
      <c r="N17" s="239"/>
      <c r="U17" s="7"/>
    </row>
    <row r="18" spans="2:24" ht="15.6" customHeight="1" x14ac:dyDescent="0.2">
      <c r="B18" s="6"/>
      <c r="C18" s="194"/>
      <c r="D18" s="194"/>
      <c r="E18" s="195"/>
      <c r="F18" s="195"/>
      <c r="G18" s="195"/>
      <c r="L18" s="195"/>
      <c r="M18" s="195"/>
      <c r="N18" s="195"/>
      <c r="O18" s="195"/>
      <c r="U18" s="7"/>
    </row>
    <row r="19" spans="2:24" ht="15.6" customHeight="1" x14ac:dyDescent="0.2">
      <c r="B19" s="6"/>
      <c r="C19" s="234" t="s">
        <v>393</v>
      </c>
      <c r="D19" s="235"/>
      <c r="E19" s="235"/>
      <c r="F19" s="235"/>
      <c r="G19" s="235"/>
      <c r="H19" s="235"/>
      <c r="I19" s="235"/>
      <c r="J19" s="235"/>
      <c r="K19" s="236"/>
      <c r="L19" s="237" t="s">
        <v>394</v>
      </c>
      <c r="M19" s="238"/>
      <c r="N19" s="239"/>
      <c r="U19" s="7"/>
    </row>
    <row r="20" spans="2:24" ht="15.6" customHeight="1" x14ac:dyDescent="0.2">
      <c r="B20" s="6"/>
      <c r="C20" s="194"/>
      <c r="D20" s="194"/>
      <c r="E20" s="195"/>
      <c r="F20" s="195"/>
      <c r="G20" s="195"/>
      <c r="L20" s="195"/>
      <c r="M20" s="195"/>
      <c r="N20" s="195"/>
      <c r="O20" s="195"/>
      <c r="U20" s="7"/>
    </row>
    <row r="21" spans="2:24" ht="15.6" customHeight="1" x14ac:dyDescent="0.2">
      <c r="B21" s="6"/>
      <c r="C21" s="234" t="s">
        <v>244</v>
      </c>
      <c r="D21" s="235"/>
      <c r="E21" s="235"/>
      <c r="F21" s="235"/>
      <c r="G21" s="235"/>
      <c r="H21" s="235"/>
      <c r="I21" s="235"/>
      <c r="J21" s="235"/>
      <c r="K21" s="236"/>
      <c r="L21" s="237"/>
      <c r="M21" s="238"/>
      <c r="N21" s="239"/>
      <c r="U21" s="7"/>
    </row>
    <row r="22" spans="2:24" s="16" customFormat="1" ht="15.6" customHeight="1" thickBot="1" x14ac:dyDescent="0.25">
      <c r="B22" s="23"/>
      <c r="C22" s="25"/>
      <c r="D22" s="25"/>
      <c r="E22" s="25"/>
      <c r="F22" s="25"/>
      <c r="G22" s="25"/>
      <c r="H22" s="25"/>
      <c r="I22" s="25"/>
      <c r="J22" s="25"/>
      <c r="K22" s="26"/>
      <c r="L22" s="35"/>
      <c r="M22" s="28"/>
      <c r="N22" s="29"/>
      <c r="O22" s="29"/>
      <c r="P22" s="29"/>
      <c r="Q22" s="29"/>
      <c r="R22" s="29"/>
      <c r="S22" s="29"/>
      <c r="T22" s="29"/>
      <c r="U22" s="30"/>
    </row>
    <row r="23" spans="2:24" ht="39.6" customHeight="1" x14ac:dyDescent="0.2">
      <c r="C23" s="240"/>
      <c r="D23" s="240"/>
      <c r="E23" s="240"/>
      <c r="F23" s="240"/>
      <c r="G23" s="240"/>
      <c r="H23" s="240"/>
      <c r="I23" s="240"/>
      <c r="J23" s="240"/>
      <c r="L23" s="196"/>
      <c r="M23" s="197"/>
      <c r="N23" s="198"/>
      <c r="O23" s="198"/>
      <c r="P23" s="198"/>
      <c r="Q23" s="198"/>
      <c r="R23" s="198"/>
      <c r="W23" s="31"/>
      <c r="X23" s="31"/>
    </row>
  </sheetData>
  <sheetProtection formatCells="0" formatColumns="0" formatRows="0" insertColumns="0" insertRows="0"/>
  <mergeCells count="17">
    <mergeCell ref="C12:T12"/>
    <mergeCell ref="C3:T3"/>
    <mergeCell ref="C5:T5"/>
    <mergeCell ref="C6:T6"/>
    <mergeCell ref="C7:T7"/>
    <mergeCell ref="C10:T10"/>
    <mergeCell ref="C13:T13"/>
    <mergeCell ref="C15:K15"/>
    <mergeCell ref="L15:N15"/>
    <mergeCell ref="O15:S15"/>
    <mergeCell ref="C17:K17"/>
    <mergeCell ref="L17:N17"/>
    <mergeCell ref="C19:K19"/>
    <mergeCell ref="L19:N19"/>
    <mergeCell ref="C21:K21"/>
    <mergeCell ref="L21:N21"/>
    <mergeCell ref="C23:J23"/>
  </mergeCells>
  <dataValidations count="1">
    <dataValidation type="list" allowBlank="1" showInputMessage="1" showErrorMessage="1" sqref="L22:L23" xr:uid="{41156D5D-C6A4-4B7D-A934-15E969ABDB80}">
      <formula1>$W$2:$Y$2</formula1>
    </dataValidation>
  </dataValidations>
  <pageMargins left="0.70866141732283472" right="0.70866141732283472" top="0.74803149606299213" bottom="0.74803149606299213" header="0.31496062992125984" footer="0.31496062992125984"/>
  <pageSetup paperSize="9" scale="67"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37D57-DBBB-44DD-B477-2ABC820B2090}">
  <sheetPr codeName="Sheet3">
    <tabColor theme="0"/>
    <pageSetUpPr fitToPage="1"/>
  </sheetPr>
  <dimension ref="A1:Y70"/>
  <sheetViews>
    <sheetView showGridLines="0" topLeftCell="A56" zoomScale="80" zoomScaleNormal="80" workbookViewId="0">
      <selection activeCell="O62" sqref="O62:U62"/>
    </sheetView>
  </sheetViews>
  <sheetFormatPr defaultColWidth="0" defaultRowHeight="0" customHeight="1" zeroHeight="1" x14ac:dyDescent="0.2"/>
  <cols>
    <col min="1" max="1" width="8" style="1" customWidth="1"/>
    <col min="2" max="2" width="2.5703125" style="1" customWidth="1"/>
    <col min="3" max="3" width="3.28515625" style="1" customWidth="1"/>
    <col min="4" max="10" width="9" style="1" customWidth="1"/>
    <col min="11" max="11" width="9.7109375" style="1" customWidth="1"/>
    <col min="12" max="12" width="8.42578125" style="1" customWidth="1"/>
    <col min="13" max="13" width="10.5703125" style="1" customWidth="1"/>
    <col min="14" max="14" width="9" style="1" customWidth="1"/>
    <col min="15" max="19" width="10.140625" style="1" customWidth="1"/>
    <col min="20" max="21" width="9" style="1" customWidth="1"/>
    <col min="22" max="22" width="2.5703125" style="1" customWidth="1"/>
    <col min="23" max="23" width="7.5703125" style="1" customWidth="1"/>
    <col min="24" max="16384" width="9" style="1" hidden="1"/>
  </cols>
  <sheetData>
    <row r="1" spans="2:22" ht="14.25" customHeight="1" thickBot="1" x14ac:dyDescent="0.25"/>
    <row r="2" spans="2:22" ht="14.25" x14ac:dyDescent="0.2">
      <c r="B2" s="2"/>
      <c r="C2" s="3"/>
      <c r="D2" s="3"/>
      <c r="E2" s="3"/>
      <c r="F2" s="3"/>
      <c r="G2" s="3"/>
      <c r="H2" s="3"/>
      <c r="I2" s="3"/>
      <c r="J2" s="3"/>
      <c r="K2" s="3"/>
      <c r="L2" s="3"/>
      <c r="M2" s="3"/>
      <c r="N2" s="3"/>
      <c r="O2" s="3"/>
      <c r="P2" s="3"/>
      <c r="Q2" s="3"/>
      <c r="R2" s="3"/>
      <c r="S2" s="3"/>
      <c r="T2" s="3"/>
      <c r="U2" s="3"/>
      <c r="V2" s="4"/>
    </row>
    <row r="3" spans="2:22" ht="24.75" customHeight="1" x14ac:dyDescent="0.2">
      <c r="B3" s="6"/>
      <c r="C3" s="248" t="s">
        <v>349</v>
      </c>
      <c r="D3" s="248"/>
      <c r="E3" s="248"/>
      <c r="F3" s="248"/>
      <c r="G3" s="248"/>
      <c r="H3" s="248"/>
      <c r="I3" s="248"/>
      <c r="J3" s="248"/>
      <c r="K3" s="248"/>
      <c r="L3" s="248"/>
      <c r="M3" s="248"/>
      <c r="N3" s="248"/>
      <c r="O3" s="248"/>
      <c r="P3" s="248"/>
      <c r="Q3" s="248"/>
      <c r="R3" s="248"/>
      <c r="S3" s="248"/>
      <c r="T3" s="248"/>
      <c r="U3" s="248"/>
      <c r="V3" s="7"/>
    </row>
    <row r="4" spans="2:22" ht="14.25" x14ac:dyDescent="0.2">
      <c r="B4" s="6"/>
      <c r="V4" s="7"/>
    </row>
    <row r="5" spans="2:22" ht="57" customHeight="1" x14ac:dyDescent="0.2">
      <c r="B5" s="6"/>
      <c r="C5" s="285" t="s">
        <v>345</v>
      </c>
      <c r="D5" s="286"/>
      <c r="E5" s="286"/>
      <c r="F5" s="286"/>
      <c r="G5" s="286"/>
      <c r="H5" s="286"/>
      <c r="I5" s="286"/>
      <c r="J5" s="286"/>
      <c r="K5" s="286"/>
      <c r="L5" s="286"/>
      <c r="M5" s="286"/>
      <c r="N5" s="286"/>
      <c r="O5" s="286"/>
      <c r="P5" s="286"/>
      <c r="Q5" s="286"/>
      <c r="R5" s="286"/>
      <c r="S5" s="286"/>
      <c r="T5" s="286"/>
      <c r="U5" s="287"/>
      <c r="V5" s="7"/>
    </row>
    <row r="6" spans="2:22" ht="48.6" customHeight="1" x14ac:dyDescent="0.2">
      <c r="B6" s="6"/>
      <c r="C6" s="288" t="s">
        <v>245</v>
      </c>
      <c r="D6" s="289"/>
      <c r="E6" s="289"/>
      <c r="F6" s="289"/>
      <c r="G6" s="289"/>
      <c r="H6" s="289"/>
      <c r="I6" s="289"/>
      <c r="J6" s="289"/>
      <c r="K6" s="289"/>
      <c r="L6" s="289"/>
      <c r="M6" s="289"/>
      <c r="N6" s="289"/>
      <c r="O6" s="289"/>
      <c r="P6" s="289"/>
      <c r="Q6" s="289"/>
      <c r="R6" s="289"/>
      <c r="S6" s="289"/>
      <c r="T6" s="289"/>
      <c r="U6" s="290"/>
      <c r="V6" s="7"/>
    </row>
    <row r="7" spans="2:22" ht="46.35" customHeight="1" x14ac:dyDescent="0.2">
      <c r="B7" s="6"/>
      <c r="C7" s="291" t="s">
        <v>246</v>
      </c>
      <c r="D7" s="292"/>
      <c r="E7" s="292"/>
      <c r="F7" s="292"/>
      <c r="G7" s="292"/>
      <c r="H7" s="292"/>
      <c r="I7" s="292"/>
      <c r="J7" s="292"/>
      <c r="K7" s="292"/>
      <c r="L7" s="292"/>
      <c r="M7" s="292"/>
      <c r="N7" s="292"/>
      <c r="O7" s="292"/>
      <c r="P7" s="292"/>
      <c r="Q7" s="292"/>
      <c r="R7" s="292"/>
      <c r="S7" s="292"/>
      <c r="T7" s="292"/>
      <c r="U7" s="293"/>
      <c r="V7" s="7"/>
    </row>
    <row r="8" spans="2:22" ht="14.65" customHeight="1" x14ac:dyDescent="0.2">
      <c r="B8" s="6"/>
      <c r="V8" s="7"/>
    </row>
    <row r="9" spans="2:22" ht="14.65" customHeight="1" x14ac:dyDescent="0.2">
      <c r="B9" s="6"/>
      <c r="C9" s="258" t="s">
        <v>6</v>
      </c>
      <c r="D9" s="259"/>
      <c r="E9" s="259"/>
      <c r="F9" s="259"/>
      <c r="G9" s="260"/>
      <c r="H9" s="264" t="s">
        <v>371</v>
      </c>
      <c r="I9" s="265"/>
      <c r="J9" s="265"/>
      <c r="K9" s="265"/>
      <c r="L9" s="265"/>
      <c r="M9" s="265"/>
      <c r="N9" s="265"/>
      <c r="O9" s="265"/>
      <c r="P9" s="265"/>
      <c r="Q9" s="265"/>
      <c r="R9" s="265"/>
      <c r="S9" s="265"/>
      <c r="T9" s="265"/>
      <c r="U9" s="266"/>
      <c r="V9" s="7"/>
    </row>
    <row r="10" spans="2:22" ht="14.65" customHeight="1" x14ac:dyDescent="0.2">
      <c r="B10" s="6"/>
      <c r="C10" s="261"/>
      <c r="D10" s="262"/>
      <c r="E10" s="262"/>
      <c r="F10" s="262"/>
      <c r="G10" s="263"/>
      <c r="H10" s="267"/>
      <c r="I10" s="268"/>
      <c r="J10" s="268"/>
      <c r="K10" s="268"/>
      <c r="L10" s="268"/>
      <c r="M10" s="268"/>
      <c r="N10" s="268"/>
      <c r="O10" s="268"/>
      <c r="P10" s="268"/>
      <c r="Q10" s="268"/>
      <c r="R10" s="268"/>
      <c r="S10" s="268"/>
      <c r="T10" s="268"/>
      <c r="U10" s="269"/>
      <c r="V10" s="7"/>
    </row>
    <row r="11" spans="2:22" ht="27.75" customHeight="1" x14ac:dyDescent="0.2">
      <c r="B11" s="6"/>
      <c r="C11" s="270" t="s">
        <v>328</v>
      </c>
      <c r="D11" s="270"/>
      <c r="E11" s="270"/>
      <c r="F11" s="270"/>
      <c r="G11" s="270"/>
      <c r="H11" s="271" t="s">
        <v>369</v>
      </c>
      <c r="I11" s="271"/>
      <c r="J11" s="271"/>
      <c r="K11" s="271"/>
      <c r="L11" s="271"/>
      <c r="M11" s="271"/>
      <c r="N11" s="271"/>
      <c r="O11" s="271"/>
      <c r="P11" s="271"/>
      <c r="Q11" s="271"/>
      <c r="R11" s="271"/>
      <c r="S11" s="271"/>
      <c r="T11" s="271"/>
      <c r="U11" s="271"/>
      <c r="V11" s="7"/>
    </row>
    <row r="12" spans="2:22" s="16" customFormat="1" ht="14.25" customHeight="1" x14ac:dyDescent="0.2">
      <c r="B12" s="14"/>
      <c r="M12" s="199"/>
      <c r="N12" s="200"/>
      <c r="O12" s="199"/>
      <c r="P12" s="199"/>
      <c r="Q12" s="199"/>
      <c r="R12" s="199"/>
      <c r="S12" s="199"/>
      <c r="T12" s="199"/>
      <c r="V12" s="15"/>
    </row>
    <row r="13" spans="2:22" s="19" customFormat="1" ht="19.5" customHeight="1" x14ac:dyDescent="0.25">
      <c r="B13" s="17"/>
      <c r="M13" s="201" t="s">
        <v>37</v>
      </c>
      <c r="N13" s="201"/>
      <c r="O13" s="294" t="s">
        <v>13</v>
      </c>
      <c r="P13" s="294"/>
      <c r="Q13" s="294"/>
      <c r="R13" s="294"/>
      <c r="S13" s="294"/>
      <c r="T13" s="294"/>
      <c r="U13" s="294"/>
      <c r="V13" s="18"/>
    </row>
    <row r="14" spans="2:22" s="16" customFormat="1" ht="15.75" x14ac:dyDescent="0.2">
      <c r="B14" s="14"/>
      <c r="C14" s="278" t="s">
        <v>12</v>
      </c>
      <c r="D14" s="278"/>
      <c r="E14" s="278"/>
      <c r="F14" s="278"/>
      <c r="G14" s="278"/>
      <c r="H14" s="278"/>
      <c r="I14" s="278"/>
      <c r="J14" s="278"/>
      <c r="K14" s="278"/>
      <c r="L14" s="278"/>
      <c r="M14" s="278"/>
      <c r="N14" s="278"/>
      <c r="O14" s="278"/>
      <c r="P14" s="278"/>
      <c r="Q14" s="278"/>
      <c r="R14" s="278"/>
      <c r="S14" s="278"/>
      <c r="T14" s="278"/>
      <c r="U14" s="278"/>
      <c r="V14" s="15"/>
    </row>
    <row r="15" spans="2:22" s="16" customFormat="1" ht="4.3499999999999996" customHeight="1" x14ac:dyDescent="0.2">
      <c r="B15" s="14"/>
      <c r="F15" s="202"/>
      <c r="G15" s="202"/>
      <c r="H15" s="202"/>
      <c r="I15" s="202"/>
      <c r="J15" s="202"/>
      <c r="K15" s="202"/>
      <c r="L15" s="202"/>
      <c r="M15" s="202"/>
      <c r="N15" s="202"/>
      <c r="O15" s="202"/>
      <c r="P15" s="202"/>
      <c r="Q15" s="202"/>
      <c r="R15" s="202"/>
      <c r="S15" s="202"/>
      <c r="T15" s="202"/>
      <c r="V15" s="15"/>
    </row>
    <row r="16" spans="2:22" s="16" customFormat="1" ht="72.599999999999994" customHeight="1" x14ac:dyDescent="0.2">
      <c r="B16" s="14"/>
      <c r="C16" s="20">
        <v>1</v>
      </c>
      <c r="D16" s="272" t="s">
        <v>247</v>
      </c>
      <c r="E16" s="273"/>
      <c r="F16" s="273"/>
      <c r="G16" s="273"/>
      <c r="H16" s="273"/>
      <c r="I16" s="273"/>
      <c r="J16" s="274"/>
      <c r="K16" s="124" t="s">
        <v>248</v>
      </c>
      <c r="M16" s="214" t="s">
        <v>357</v>
      </c>
      <c r="N16" s="203"/>
      <c r="O16" s="275" t="s">
        <v>372</v>
      </c>
      <c r="P16" s="276"/>
      <c r="Q16" s="276"/>
      <c r="R16" s="276"/>
      <c r="S16" s="276"/>
      <c r="T16" s="276"/>
      <c r="U16" s="277"/>
      <c r="V16" s="15"/>
    </row>
    <row r="17" spans="2:25" s="16" customFormat="1" ht="60" customHeight="1" x14ac:dyDescent="0.2">
      <c r="B17" s="14"/>
      <c r="C17" s="20">
        <v>2</v>
      </c>
      <c r="D17" s="272" t="s">
        <v>249</v>
      </c>
      <c r="E17" s="273"/>
      <c r="F17" s="273"/>
      <c r="G17" s="273"/>
      <c r="H17" s="273"/>
      <c r="I17" s="273"/>
      <c r="J17" s="274"/>
      <c r="K17" s="124" t="s">
        <v>250</v>
      </c>
      <c r="M17" s="214" t="s">
        <v>357</v>
      </c>
      <c r="N17" s="203"/>
      <c r="O17" s="275" t="s">
        <v>373</v>
      </c>
      <c r="P17" s="276"/>
      <c r="Q17" s="276"/>
      <c r="R17" s="276"/>
      <c r="S17" s="276"/>
      <c r="T17" s="276"/>
      <c r="U17" s="277"/>
      <c r="V17" s="15"/>
      <c r="X17" s="21"/>
      <c r="Y17" s="21"/>
    </row>
    <row r="18" spans="2:25" s="16" customFormat="1" ht="60" customHeight="1" x14ac:dyDescent="0.2">
      <c r="B18" s="14"/>
      <c r="C18" s="22">
        <v>3</v>
      </c>
      <c r="D18" s="272" t="s">
        <v>251</v>
      </c>
      <c r="E18" s="273"/>
      <c r="F18" s="273"/>
      <c r="G18" s="273"/>
      <c r="H18" s="273"/>
      <c r="I18" s="273"/>
      <c r="J18" s="274"/>
      <c r="K18" s="124" t="s">
        <v>252</v>
      </c>
      <c r="M18" s="214" t="s">
        <v>359</v>
      </c>
      <c r="N18" s="203"/>
      <c r="O18" s="275" t="s">
        <v>374</v>
      </c>
      <c r="P18" s="276"/>
      <c r="Q18" s="276"/>
      <c r="R18" s="276"/>
      <c r="S18" s="276"/>
      <c r="T18" s="276"/>
      <c r="U18" s="277"/>
      <c r="V18" s="15"/>
    </row>
    <row r="19" spans="2:25" s="16" customFormat="1" ht="60" customHeight="1" x14ac:dyDescent="0.2">
      <c r="B19" s="14"/>
      <c r="C19" s="22">
        <v>4</v>
      </c>
      <c r="D19" s="272" t="s">
        <v>253</v>
      </c>
      <c r="E19" s="273"/>
      <c r="F19" s="273"/>
      <c r="G19" s="273"/>
      <c r="H19" s="273"/>
      <c r="I19" s="273"/>
      <c r="J19" s="274"/>
      <c r="K19" s="124" t="s">
        <v>254</v>
      </c>
      <c r="M19" s="214" t="s">
        <v>357</v>
      </c>
      <c r="N19" s="203"/>
      <c r="O19" s="275" t="s">
        <v>358</v>
      </c>
      <c r="P19" s="276"/>
      <c r="Q19" s="276"/>
      <c r="R19" s="276"/>
      <c r="S19" s="276"/>
      <c r="T19" s="276"/>
      <c r="U19" s="277"/>
      <c r="V19" s="15"/>
    </row>
    <row r="20" spans="2:25" s="16" customFormat="1" ht="60" customHeight="1" x14ac:dyDescent="0.2">
      <c r="B20" s="14"/>
      <c r="C20" s="22">
        <v>5</v>
      </c>
      <c r="D20" s="272" t="s">
        <v>255</v>
      </c>
      <c r="E20" s="273"/>
      <c r="F20" s="273"/>
      <c r="G20" s="273"/>
      <c r="H20" s="273"/>
      <c r="I20" s="273"/>
      <c r="J20" s="274"/>
      <c r="K20" s="124" t="s">
        <v>256</v>
      </c>
      <c r="M20" s="214" t="s">
        <v>359</v>
      </c>
      <c r="N20" s="203"/>
      <c r="O20" s="275" t="s">
        <v>360</v>
      </c>
      <c r="P20" s="276"/>
      <c r="Q20" s="276"/>
      <c r="R20" s="276"/>
      <c r="S20" s="276"/>
      <c r="T20" s="276"/>
      <c r="U20" s="277"/>
      <c r="V20" s="15"/>
    </row>
    <row r="21" spans="2:25" s="16" customFormat="1" ht="15" x14ac:dyDescent="0.2">
      <c r="B21" s="14"/>
      <c r="V21" s="15"/>
    </row>
    <row r="22" spans="2:25" s="16" customFormat="1" ht="15.75" x14ac:dyDescent="0.2">
      <c r="B22" s="14"/>
      <c r="C22" s="278" t="s">
        <v>331</v>
      </c>
      <c r="D22" s="278"/>
      <c r="E22" s="278"/>
      <c r="F22" s="278"/>
      <c r="G22" s="278"/>
      <c r="H22" s="278"/>
      <c r="I22" s="278"/>
      <c r="J22" s="278"/>
      <c r="K22" s="278"/>
      <c r="L22" s="278"/>
      <c r="M22" s="278"/>
      <c r="N22" s="278"/>
      <c r="O22" s="278"/>
      <c r="P22" s="278"/>
      <c r="Q22" s="278"/>
      <c r="R22" s="278"/>
      <c r="S22" s="278"/>
      <c r="T22" s="278"/>
      <c r="U22" s="278"/>
      <c r="V22" s="15"/>
    </row>
    <row r="23" spans="2:25" s="16" customFormat="1" ht="4.3499999999999996" customHeight="1" x14ac:dyDescent="0.2">
      <c r="B23" s="14"/>
      <c r="F23" s="202"/>
      <c r="G23" s="202"/>
      <c r="H23" s="202"/>
      <c r="I23" s="202"/>
      <c r="J23" s="202"/>
      <c r="K23" s="202"/>
      <c r="L23" s="202"/>
      <c r="M23" s="202"/>
      <c r="N23" s="202"/>
      <c r="O23" s="202"/>
      <c r="P23" s="202"/>
      <c r="Q23" s="202"/>
      <c r="R23" s="202"/>
      <c r="S23" s="202"/>
      <c r="T23" s="202"/>
      <c r="V23" s="15"/>
    </row>
    <row r="24" spans="2:25" s="16" customFormat="1" ht="60" customHeight="1" x14ac:dyDescent="0.2">
      <c r="B24" s="14"/>
      <c r="C24" s="22">
        <v>6</v>
      </c>
      <c r="D24" s="282" t="s">
        <v>257</v>
      </c>
      <c r="E24" s="283"/>
      <c r="F24" s="283"/>
      <c r="G24" s="283"/>
      <c r="H24" s="283"/>
      <c r="I24" s="283"/>
      <c r="J24" s="284"/>
      <c r="K24" s="124" t="s">
        <v>258</v>
      </c>
      <c r="M24" s="214" t="s">
        <v>357</v>
      </c>
      <c r="N24" s="203"/>
      <c r="O24" s="275" t="s">
        <v>361</v>
      </c>
      <c r="P24" s="276"/>
      <c r="Q24" s="276"/>
      <c r="R24" s="276"/>
      <c r="S24" s="276"/>
      <c r="T24" s="276"/>
      <c r="U24" s="277"/>
      <c r="V24" s="15"/>
    </row>
    <row r="25" spans="2:25" s="16" customFormat="1" ht="60" customHeight="1" x14ac:dyDescent="0.2">
      <c r="B25" s="14"/>
      <c r="C25" s="22">
        <v>7</v>
      </c>
      <c r="D25" s="272" t="s">
        <v>259</v>
      </c>
      <c r="E25" s="273"/>
      <c r="F25" s="273"/>
      <c r="G25" s="273"/>
      <c r="H25" s="273"/>
      <c r="I25" s="273"/>
      <c r="J25" s="274"/>
      <c r="K25" s="124" t="s">
        <v>260</v>
      </c>
      <c r="M25" s="214" t="s">
        <v>357</v>
      </c>
      <c r="N25" s="203"/>
      <c r="O25" s="275" t="s">
        <v>375</v>
      </c>
      <c r="P25" s="276"/>
      <c r="Q25" s="276"/>
      <c r="R25" s="276"/>
      <c r="S25" s="276"/>
      <c r="T25" s="276"/>
      <c r="U25" s="277"/>
      <c r="V25" s="15"/>
      <c r="X25" s="21"/>
      <c r="Y25" s="21"/>
    </row>
    <row r="26" spans="2:25" s="16" customFormat="1" ht="60" customHeight="1" x14ac:dyDescent="0.2">
      <c r="B26" s="14"/>
      <c r="C26" s="22">
        <v>8</v>
      </c>
      <c r="D26" s="272" t="s">
        <v>236</v>
      </c>
      <c r="E26" s="273"/>
      <c r="F26" s="273"/>
      <c r="G26" s="273"/>
      <c r="H26" s="273"/>
      <c r="I26" s="273"/>
      <c r="J26" s="274"/>
      <c r="K26" s="124" t="s">
        <v>261</v>
      </c>
      <c r="M26" s="214" t="s">
        <v>357</v>
      </c>
      <c r="N26" s="203"/>
      <c r="O26" s="275" t="s">
        <v>376</v>
      </c>
      <c r="P26" s="276"/>
      <c r="Q26" s="276"/>
      <c r="R26" s="276"/>
      <c r="S26" s="276"/>
      <c r="T26" s="276"/>
      <c r="U26" s="277"/>
      <c r="V26" s="15"/>
      <c r="X26" s="21"/>
      <c r="Y26" s="21"/>
    </row>
    <row r="27" spans="2:25" s="16" customFormat="1" ht="15.75" x14ac:dyDescent="0.25">
      <c r="B27" s="14"/>
      <c r="M27" s="204" t="str">
        <f>IF(OR(ROUND(SUM(M21:M25),3)=100%,SUM(M21:M25)=0),"","Section must sum to 100%")</f>
        <v/>
      </c>
      <c r="V27" s="15"/>
    </row>
    <row r="28" spans="2:25" s="16" customFormat="1" ht="15.75" x14ac:dyDescent="0.2">
      <c r="B28" s="14"/>
      <c r="C28" s="278" t="s">
        <v>332</v>
      </c>
      <c r="D28" s="278"/>
      <c r="E28" s="278"/>
      <c r="F28" s="278"/>
      <c r="G28" s="278"/>
      <c r="H28" s="278"/>
      <c r="I28" s="278"/>
      <c r="J28" s="278"/>
      <c r="K28" s="278"/>
      <c r="L28" s="278"/>
      <c r="M28" s="278"/>
      <c r="N28" s="278"/>
      <c r="O28" s="278"/>
      <c r="P28" s="278"/>
      <c r="Q28" s="278"/>
      <c r="R28" s="278"/>
      <c r="S28" s="278"/>
      <c r="T28" s="278"/>
      <c r="U28" s="278"/>
      <c r="V28" s="15"/>
    </row>
    <row r="29" spans="2:25" s="16" customFormat="1" ht="4.3499999999999996" customHeight="1" x14ac:dyDescent="0.2">
      <c r="B29" s="14"/>
      <c r="F29" s="202"/>
      <c r="G29" s="202"/>
      <c r="H29" s="202"/>
      <c r="I29" s="202"/>
      <c r="J29" s="202"/>
      <c r="K29" s="202"/>
      <c r="L29" s="202"/>
      <c r="M29" s="202"/>
      <c r="N29" s="202"/>
      <c r="O29" s="202"/>
      <c r="P29" s="202"/>
      <c r="Q29" s="202"/>
      <c r="R29" s="202"/>
      <c r="S29" s="202"/>
      <c r="T29" s="202"/>
      <c r="V29" s="15"/>
    </row>
    <row r="30" spans="2:25" s="16" customFormat="1" ht="85.5" customHeight="1" x14ac:dyDescent="0.2">
      <c r="B30" s="14"/>
      <c r="C30" s="22">
        <v>9</v>
      </c>
      <c r="D30" s="272" t="s">
        <v>262</v>
      </c>
      <c r="E30" s="273"/>
      <c r="F30" s="273"/>
      <c r="G30" s="273"/>
      <c r="H30" s="273"/>
      <c r="I30" s="273"/>
      <c r="J30" s="274"/>
      <c r="K30" s="124" t="s">
        <v>263</v>
      </c>
      <c r="M30" s="214" t="s">
        <v>357</v>
      </c>
      <c r="N30" s="203"/>
      <c r="O30" s="275" t="s">
        <v>377</v>
      </c>
      <c r="P30" s="276"/>
      <c r="Q30" s="276"/>
      <c r="R30" s="276"/>
      <c r="S30" s="276"/>
      <c r="T30" s="276"/>
      <c r="U30" s="277"/>
      <c r="V30" s="15"/>
    </row>
    <row r="31" spans="2:25" s="16" customFormat="1" ht="90.75" customHeight="1" x14ac:dyDescent="0.2">
      <c r="B31" s="14"/>
      <c r="C31" s="22">
        <v>10</v>
      </c>
      <c r="D31" s="272" t="s">
        <v>264</v>
      </c>
      <c r="E31" s="273"/>
      <c r="F31" s="273"/>
      <c r="G31" s="273"/>
      <c r="H31" s="273"/>
      <c r="I31" s="273"/>
      <c r="J31" s="274"/>
      <c r="K31" s="124" t="s">
        <v>265</v>
      </c>
      <c r="M31" s="214" t="s">
        <v>357</v>
      </c>
      <c r="N31" s="203"/>
      <c r="O31" s="275" t="s">
        <v>362</v>
      </c>
      <c r="P31" s="276"/>
      <c r="Q31" s="276"/>
      <c r="R31" s="276"/>
      <c r="S31" s="276"/>
      <c r="T31" s="276"/>
      <c r="U31" s="277"/>
      <c r="V31" s="15"/>
    </row>
    <row r="32" spans="2:25" s="16" customFormat="1" ht="90.75" customHeight="1" x14ac:dyDescent="0.2">
      <c r="B32" s="14"/>
      <c r="C32" s="22">
        <v>11</v>
      </c>
      <c r="D32" s="272" t="s">
        <v>347</v>
      </c>
      <c r="E32" s="273"/>
      <c r="F32" s="273"/>
      <c r="G32" s="273"/>
      <c r="H32" s="273"/>
      <c r="I32" s="273"/>
      <c r="J32" s="274"/>
      <c r="K32" s="124" t="s">
        <v>266</v>
      </c>
      <c r="M32" s="214" t="s">
        <v>357</v>
      </c>
      <c r="N32" s="203"/>
      <c r="O32" s="275" t="s">
        <v>378</v>
      </c>
      <c r="P32" s="276"/>
      <c r="Q32" s="276"/>
      <c r="R32" s="276"/>
      <c r="S32" s="276"/>
      <c r="T32" s="276"/>
      <c r="U32" s="277"/>
      <c r="V32" s="15"/>
    </row>
    <row r="33" spans="2:25" s="16" customFormat="1" ht="105" customHeight="1" x14ac:dyDescent="0.2">
      <c r="B33" s="14"/>
      <c r="C33" s="22">
        <v>12</v>
      </c>
      <c r="D33" s="282" t="s">
        <v>267</v>
      </c>
      <c r="E33" s="283"/>
      <c r="F33" s="283"/>
      <c r="G33" s="283"/>
      <c r="H33" s="283"/>
      <c r="I33" s="283"/>
      <c r="J33" s="284"/>
      <c r="K33" s="124" t="s">
        <v>268</v>
      </c>
      <c r="M33" s="214" t="s">
        <v>357</v>
      </c>
      <c r="N33" s="203"/>
      <c r="O33" s="275" t="s">
        <v>379</v>
      </c>
      <c r="P33" s="276"/>
      <c r="Q33" s="276"/>
      <c r="R33" s="276"/>
      <c r="S33" s="276"/>
      <c r="T33" s="276"/>
      <c r="U33" s="277"/>
      <c r="V33" s="15"/>
      <c r="X33" s="21"/>
      <c r="Y33" s="21"/>
    </row>
    <row r="34" spans="2:25" s="16" customFormat="1" ht="60" customHeight="1" x14ac:dyDescent="0.2">
      <c r="B34" s="14"/>
      <c r="C34" s="22">
        <v>13</v>
      </c>
      <c r="D34" s="282" t="s">
        <v>269</v>
      </c>
      <c r="E34" s="283"/>
      <c r="F34" s="283"/>
      <c r="G34" s="283"/>
      <c r="H34" s="283"/>
      <c r="I34" s="283"/>
      <c r="J34" s="284"/>
      <c r="K34" s="124" t="s">
        <v>270</v>
      </c>
      <c r="M34" s="214" t="s">
        <v>357</v>
      </c>
      <c r="N34" s="203"/>
      <c r="O34" s="275" t="s">
        <v>380</v>
      </c>
      <c r="P34" s="276"/>
      <c r="Q34" s="276"/>
      <c r="R34" s="276"/>
      <c r="S34" s="276"/>
      <c r="T34" s="276"/>
      <c r="U34" s="277"/>
      <c r="V34" s="15"/>
    </row>
    <row r="35" spans="2:25" s="16" customFormat="1" ht="15.75" x14ac:dyDescent="0.25">
      <c r="B35" s="14"/>
      <c r="M35" s="204" t="str">
        <f>IF(OR(ROUND(SUM(M28:M34),3)=100%,SUM(M28:M34)=0),"","Section must sum to 100%")</f>
        <v/>
      </c>
      <c r="V35" s="15"/>
    </row>
    <row r="36" spans="2:25" s="16" customFormat="1" ht="15.75" x14ac:dyDescent="0.2">
      <c r="B36" s="14"/>
      <c r="C36" s="278" t="s">
        <v>237</v>
      </c>
      <c r="D36" s="278"/>
      <c r="E36" s="278"/>
      <c r="F36" s="278"/>
      <c r="G36" s="278"/>
      <c r="H36" s="278"/>
      <c r="I36" s="278"/>
      <c r="J36" s="278"/>
      <c r="K36" s="278"/>
      <c r="L36" s="278"/>
      <c r="M36" s="278"/>
      <c r="N36" s="278"/>
      <c r="O36" s="278"/>
      <c r="P36" s="278"/>
      <c r="Q36" s="278"/>
      <c r="R36" s="278"/>
      <c r="S36" s="278"/>
      <c r="T36" s="278"/>
      <c r="U36" s="278"/>
      <c r="V36" s="15"/>
    </row>
    <row r="37" spans="2:25" s="16" customFormat="1" ht="4.3499999999999996" customHeight="1" x14ac:dyDescent="0.2">
      <c r="B37" s="14"/>
      <c r="F37" s="202"/>
      <c r="G37" s="202"/>
      <c r="H37" s="202"/>
      <c r="I37" s="202"/>
      <c r="J37" s="202"/>
      <c r="K37" s="202"/>
      <c r="L37" s="202"/>
      <c r="M37" s="202"/>
      <c r="N37" s="202"/>
      <c r="O37" s="202"/>
      <c r="P37" s="202"/>
      <c r="Q37" s="202"/>
      <c r="R37" s="202"/>
      <c r="S37" s="202"/>
      <c r="T37" s="202"/>
      <c r="V37" s="15"/>
    </row>
    <row r="38" spans="2:25" s="16" customFormat="1" ht="67.5" customHeight="1" x14ac:dyDescent="0.2">
      <c r="B38" s="14"/>
      <c r="C38" s="22">
        <v>14</v>
      </c>
      <c r="D38" s="272" t="s">
        <v>271</v>
      </c>
      <c r="E38" s="273"/>
      <c r="F38" s="273"/>
      <c r="G38" s="273"/>
      <c r="H38" s="273"/>
      <c r="I38" s="273"/>
      <c r="J38" s="274"/>
      <c r="K38" s="124" t="s">
        <v>272</v>
      </c>
      <c r="M38" s="214" t="s">
        <v>357</v>
      </c>
      <c r="N38" s="203"/>
      <c r="O38" s="275" t="s">
        <v>381</v>
      </c>
      <c r="P38" s="276"/>
      <c r="Q38" s="276"/>
      <c r="R38" s="276"/>
      <c r="S38" s="276"/>
      <c r="T38" s="276"/>
      <c r="U38" s="277"/>
      <c r="V38" s="15"/>
    </row>
    <row r="39" spans="2:25" s="16" customFormat="1" ht="69.599999999999994" customHeight="1" x14ac:dyDescent="0.2">
      <c r="B39" s="14"/>
      <c r="C39" s="22">
        <v>15</v>
      </c>
      <c r="D39" s="272" t="s">
        <v>273</v>
      </c>
      <c r="E39" s="273"/>
      <c r="F39" s="273"/>
      <c r="G39" s="273"/>
      <c r="H39" s="273"/>
      <c r="I39" s="273"/>
      <c r="J39" s="274"/>
      <c r="K39" s="124" t="s">
        <v>274</v>
      </c>
      <c r="M39" s="214" t="s">
        <v>357</v>
      </c>
      <c r="N39" s="203"/>
      <c r="O39" s="275" t="s">
        <v>363</v>
      </c>
      <c r="P39" s="276"/>
      <c r="Q39" s="276"/>
      <c r="R39" s="276"/>
      <c r="S39" s="276"/>
      <c r="T39" s="276"/>
      <c r="U39" s="277"/>
      <c r="V39" s="15"/>
    </row>
    <row r="40" spans="2:25" s="16" customFormat="1" ht="69.599999999999994" customHeight="1" x14ac:dyDescent="0.2">
      <c r="B40" s="14"/>
      <c r="C40" s="22">
        <v>16</v>
      </c>
      <c r="D40" s="272" t="s">
        <v>275</v>
      </c>
      <c r="E40" s="273"/>
      <c r="F40" s="273"/>
      <c r="G40" s="273"/>
      <c r="H40" s="273"/>
      <c r="I40" s="273"/>
      <c r="J40" s="274"/>
      <c r="K40" s="124" t="s">
        <v>276</v>
      </c>
      <c r="M40" s="214" t="s">
        <v>357</v>
      </c>
      <c r="N40" s="203"/>
      <c r="O40" s="275" t="s">
        <v>382</v>
      </c>
      <c r="P40" s="276"/>
      <c r="Q40" s="276"/>
      <c r="R40" s="276"/>
      <c r="S40" s="276"/>
      <c r="T40" s="276"/>
      <c r="U40" s="277"/>
      <c r="V40" s="15"/>
    </row>
    <row r="41" spans="2:25" s="16" customFormat="1" ht="15.75" x14ac:dyDescent="0.25">
      <c r="B41" s="14"/>
      <c r="M41" s="204" t="str">
        <f>IF(OR(ROUND(SUM(M34:M39),3)=100%,SUM(M34:M39)=0),"","Section must sum to 100%")</f>
        <v/>
      </c>
      <c r="V41" s="15"/>
    </row>
    <row r="42" spans="2:25" s="16" customFormat="1" ht="15.75" x14ac:dyDescent="0.2">
      <c r="B42" s="14"/>
      <c r="C42" s="278" t="s">
        <v>333</v>
      </c>
      <c r="D42" s="278"/>
      <c r="E42" s="278"/>
      <c r="F42" s="278"/>
      <c r="G42" s="278"/>
      <c r="H42" s="278"/>
      <c r="I42" s="278"/>
      <c r="J42" s="278"/>
      <c r="K42" s="278"/>
      <c r="L42" s="278"/>
      <c r="M42" s="278"/>
      <c r="N42" s="278"/>
      <c r="O42" s="278"/>
      <c r="P42" s="278"/>
      <c r="Q42" s="278"/>
      <c r="R42" s="278"/>
      <c r="S42" s="278"/>
      <c r="T42" s="278"/>
      <c r="U42" s="278"/>
      <c r="V42" s="15"/>
    </row>
    <row r="43" spans="2:25" s="16" customFormat="1" ht="4.3499999999999996" customHeight="1" x14ac:dyDescent="0.2">
      <c r="B43" s="14"/>
      <c r="F43" s="202"/>
      <c r="G43" s="202"/>
      <c r="H43" s="202"/>
      <c r="I43" s="202"/>
      <c r="J43" s="202"/>
      <c r="K43" s="202"/>
      <c r="L43" s="202"/>
      <c r="M43" s="202"/>
      <c r="N43" s="202"/>
      <c r="O43" s="202"/>
      <c r="P43" s="202"/>
      <c r="Q43" s="202"/>
      <c r="R43" s="202"/>
      <c r="S43" s="202"/>
      <c r="T43" s="202"/>
      <c r="V43" s="15"/>
    </row>
    <row r="44" spans="2:25" s="16" customFormat="1" ht="60" customHeight="1" x14ac:dyDescent="0.2">
      <c r="B44" s="14"/>
      <c r="C44" s="22">
        <v>17</v>
      </c>
      <c r="D44" s="272" t="s">
        <v>277</v>
      </c>
      <c r="E44" s="273"/>
      <c r="F44" s="273"/>
      <c r="G44" s="273"/>
      <c r="H44" s="273"/>
      <c r="I44" s="273"/>
      <c r="J44" s="274"/>
      <c r="K44" s="124" t="s">
        <v>278</v>
      </c>
      <c r="M44" s="214" t="s">
        <v>357</v>
      </c>
      <c r="N44" s="203"/>
      <c r="O44" s="275" t="s">
        <v>383</v>
      </c>
      <c r="P44" s="276"/>
      <c r="Q44" s="276"/>
      <c r="R44" s="276"/>
      <c r="S44" s="276"/>
      <c r="T44" s="276"/>
      <c r="U44" s="277"/>
      <c r="V44" s="15"/>
    </row>
    <row r="45" spans="2:25" s="16" customFormat="1" ht="60" customHeight="1" x14ac:dyDescent="0.2">
      <c r="B45" s="14"/>
      <c r="C45" s="22">
        <v>18</v>
      </c>
      <c r="D45" s="272" t="s">
        <v>279</v>
      </c>
      <c r="E45" s="273"/>
      <c r="F45" s="273"/>
      <c r="G45" s="273"/>
      <c r="H45" s="273"/>
      <c r="I45" s="273"/>
      <c r="J45" s="274"/>
      <c r="K45" s="124" t="s">
        <v>280</v>
      </c>
      <c r="M45" s="214" t="s">
        <v>357</v>
      </c>
      <c r="N45" s="203"/>
      <c r="O45" s="275" t="s">
        <v>364</v>
      </c>
      <c r="P45" s="276"/>
      <c r="Q45" s="276"/>
      <c r="R45" s="276"/>
      <c r="S45" s="276"/>
      <c r="T45" s="276"/>
      <c r="U45" s="277"/>
      <c r="V45" s="15"/>
      <c r="X45" s="21"/>
      <c r="Y45" s="21"/>
    </row>
    <row r="46" spans="2:25" s="16" customFormat="1" ht="60" customHeight="1" x14ac:dyDescent="0.25">
      <c r="B46" s="14"/>
      <c r="C46" s="22">
        <v>19</v>
      </c>
      <c r="D46" s="272" t="s">
        <v>281</v>
      </c>
      <c r="E46" s="273"/>
      <c r="F46" s="273"/>
      <c r="G46" s="273"/>
      <c r="H46" s="273"/>
      <c r="I46" s="273"/>
      <c r="J46" s="274"/>
      <c r="K46" s="124" t="s">
        <v>282</v>
      </c>
      <c r="M46" s="214" t="s">
        <v>357</v>
      </c>
      <c r="N46" s="205"/>
      <c r="O46" s="275" t="s">
        <v>384</v>
      </c>
      <c r="P46" s="276"/>
      <c r="Q46" s="276"/>
      <c r="R46" s="276"/>
      <c r="S46" s="276"/>
      <c r="T46" s="276"/>
      <c r="U46" s="277"/>
      <c r="V46" s="15"/>
    </row>
    <row r="47" spans="2:25" s="16" customFormat="1" ht="60" customHeight="1" x14ac:dyDescent="0.2">
      <c r="B47" s="14"/>
      <c r="C47" s="22">
        <v>20</v>
      </c>
      <c r="D47" s="272" t="s">
        <v>283</v>
      </c>
      <c r="E47" s="273"/>
      <c r="F47" s="273"/>
      <c r="G47" s="273"/>
      <c r="H47" s="273"/>
      <c r="I47" s="273"/>
      <c r="J47" s="274"/>
      <c r="K47" s="124" t="s">
        <v>284</v>
      </c>
      <c r="M47" s="214" t="s">
        <v>357</v>
      </c>
      <c r="N47" s="203"/>
      <c r="O47" s="275" t="s">
        <v>385</v>
      </c>
      <c r="P47" s="276"/>
      <c r="Q47" s="276"/>
      <c r="R47" s="276"/>
      <c r="S47" s="276"/>
      <c r="T47" s="276"/>
      <c r="U47" s="277"/>
      <c r="V47" s="15"/>
      <c r="X47" s="21"/>
      <c r="Y47" s="21"/>
    </row>
    <row r="48" spans="2:25" s="16" customFormat="1" ht="60" customHeight="1" x14ac:dyDescent="0.2">
      <c r="B48" s="14"/>
      <c r="C48" s="22">
        <v>21</v>
      </c>
      <c r="D48" s="272" t="s">
        <v>285</v>
      </c>
      <c r="E48" s="273"/>
      <c r="F48" s="273"/>
      <c r="G48" s="273"/>
      <c r="H48" s="273"/>
      <c r="I48" s="273"/>
      <c r="J48" s="274"/>
      <c r="K48" s="124" t="s">
        <v>286</v>
      </c>
      <c r="M48" s="214" t="s">
        <v>357</v>
      </c>
      <c r="N48" s="203"/>
      <c r="O48" s="275" t="s">
        <v>365</v>
      </c>
      <c r="P48" s="276"/>
      <c r="Q48" s="276"/>
      <c r="R48" s="276"/>
      <c r="S48" s="276"/>
      <c r="T48" s="276"/>
      <c r="U48" s="277"/>
      <c r="V48" s="15"/>
    </row>
    <row r="49" spans="2:25" s="16" customFormat="1" ht="60" customHeight="1" x14ac:dyDescent="0.2">
      <c r="B49" s="14"/>
      <c r="C49" s="22">
        <v>22</v>
      </c>
      <c r="D49" s="272" t="s">
        <v>287</v>
      </c>
      <c r="E49" s="273"/>
      <c r="F49" s="273"/>
      <c r="G49" s="273"/>
      <c r="H49" s="273"/>
      <c r="I49" s="273"/>
      <c r="J49" s="274"/>
      <c r="K49" s="124" t="s">
        <v>288</v>
      </c>
      <c r="M49" s="214" t="s">
        <v>357</v>
      </c>
      <c r="N49" s="203"/>
      <c r="O49" s="275" t="s">
        <v>386</v>
      </c>
      <c r="P49" s="276"/>
      <c r="Q49" s="276"/>
      <c r="R49" s="276"/>
      <c r="S49" s="276"/>
      <c r="T49" s="276"/>
      <c r="U49" s="277"/>
      <c r="V49" s="15"/>
      <c r="X49" s="21"/>
      <c r="Y49" s="21"/>
    </row>
    <row r="50" spans="2:25" s="16" customFormat="1" ht="15.75" x14ac:dyDescent="0.25">
      <c r="B50" s="14"/>
      <c r="M50" s="204" t="str">
        <f>IF(OR(ROUND(SUM(M45:M49),3)=100%,SUM(M45:M49)=0),"","Section must sum to 100%")</f>
        <v/>
      </c>
      <c r="V50" s="15"/>
    </row>
    <row r="51" spans="2:25" s="16" customFormat="1" ht="15.75" x14ac:dyDescent="0.2">
      <c r="B51" s="14"/>
      <c r="C51" s="278" t="s">
        <v>334</v>
      </c>
      <c r="D51" s="278"/>
      <c r="E51" s="278"/>
      <c r="F51" s="278"/>
      <c r="G51" s="278"/>
      <c r="H51" s="278"/>
      <c r="I51" s="278"/>
      <c r="J51" s="278"/>
      <c r="K51" s="278"/>
      <c r="L51" s="278"/>
      <c r="M51" s="278"/>
      <c r="N51" s="278"/>
      <c r="O51" s="278"/>
      <c r="P51" s="278"/>
      <c r="Q51" s="278"/>
      <c r="R51" s="278"/>
      <c r="S51" s="278"/>
      <c r="T51" s="278"/>
      <c r="U51" s="278"/>
      <c r="V51" s="15"/>
    </row>
    <row r="52" spans="2:25" s="16" customFormat="1" ht="4.3499999999999996" customHeight="1" x14ac:dyDescent="0.2">
      <c r="B52" s="14"/>
      <c r="F52" s="202"/>
      <c r="G52" s="202"/>
      <c r="H52" s="202"/>
      <c r="I52" s="202"/>
      <c r="J52" s="202"/>
      <c r="K52" s="202"/>
      <c r="L52" s="202"/>
      <c r="M52" s="202"/>
      <c r="N52" s="202"/>
      <c r="O52" s="202"/>
      <c r="P52" s="202"/>
      <c r="Q52" s="202"/>
      <c r="R52" s="202"/>
      <c r="S52" s="202"/>
      <c r="T52" s="202"/>
      <c r="V52" s="15"/>
    </row>
    <row r="53" spans="2:25" s="16" customFormat="1" ht="129" customHeight="1" x14ac:dyDescent="0.2">
      <c r="B53" s="14"/>
      <c r="C53" s="22">
        <v>23</v>
      </c>
      <c r="D53" s="272" t="s">
        <v>289</v>
      </c>
      <c r="E53" s="273"/>
      <c r="F53" s="273"/>
      <c r="G53" s="273"/>
      <c r="H53" s="273"/>
      <c r="I53" s="273"/>
      <c r="J53" s="274"/>
      <c r="K53" s="124" t="s">
        <v>290</v>
      </c>
      <c r="M53" s="214" t="s">
        <v>357</v>
      </c>
      <c r="N53" s="203"/>
      <c r="O53" s="275" t="s">
        <v>387</v>
      </c>
      <c r="P53" s="276"/>
      <c r="Q53" s="276"/>
      <c r="R53" s="276"/>
      <c r="S53" s="276"/>
      <c r="T53" s="276"/>
      <c r="U53" s="277"/>
      <c r="V53" s="15"/>
    </row>
    <row r="54" spans="2:25" s="16" customFormat="1" ht="103.5" customHeight="1" x14ac:dyDescent="0.2">
      <c r="B54" s="14"/>
      <c r="C54" s="22">
        <v>24</v>
      </c>
      <c r="D54" s="272" t="s">
        <v>51</v>
      </c>
      <c r="E54" s="273"/>
      <c r="F54" s="273"/>
      <c r="G54" s="273"/>
      <c r="H54" s="273"/>
      <c r="I54" s="273"/>
      <c r="J54" s="274"/>
      <c r="K54" s="124" t="s">
        <v>291</v>
      </c>
      <c r="M54" s="214" t="s">
        <v>357</v>
      </c>
      <c r="N54" s="203"/>
      <c r="O54" s="275" t="s">
        <v>388</v>
      </c>
      <c r="P54" s="276"/>
      <c r="Q54" s="276"/>
      <c r="R54" s="276"/>
      <c r="S54" s="276"/>
      <c r="T54" s="276"/>
      <c r="U54" s="277"/>
      <c r="V54" s="15"/>
    </row>
    <row r="55" spans="2:25" s="16" customFormat="1" ht="86.25" customHeight="1" x14ac:dyDescent="0.2">
      <c r="B55" s="14"/>
      <c r="C55" s="22">
        <v>25</v>
      </c>
      <c r="D55" s="272" t="s">
        <v>292</v>
      </c>
      <c r="E55" s="273"/>
      <c r="F55" s="273"/>
      <c r="G55" s="273"/>
      <c r="H55" s="273"/>
      <c r="I55" s="273"/>
      <c r="J55" s="274"/>
      <c r="K55" s="124" t="s">
        <v>293</v>
      </c>
      <c r="M55" s="214" t="s">
        <v>357</v>
      </c>
      <c r="N55" s="203"/>
      <c r="O55" s="275" t="s">
        <v>366</v>
      </c>
      <c r="P55" s="276"/>
      <c r="Q55" s="276"/>
      <c r="R55" s="276"/>
      <c r="S55" s="276"/>
      <c r="T55" s="276"/>
      <c r="U55" s="277"/>
      <c r="V55" s="15"/>
      <c r="X55" s="21"/>
      <c r="Y55" s="21"/>
    </row>
    <row r="56" spans="2:25" s="16" customFormat="1" ht="103.5" customHeight="1" x14ac:dyDescent="0.2">
      <c r="B56" s="14"/>
      <c r="C56" s="22">
        <v>26</v>
      </c>
      <c r="D56" s="272" t="s">
        <v>294</v>
      </c>
      <c r="E56" s="273"/>
      <c r="F56" s="273"/>
      <c r="G56" s="273"/>
      <c r="H56" s="273"/>
      <c r="I56" s="273"/>
      <c r="J56" s="274"/>
      <c r="K56" s="124" t="s">
        <v>295</v>
      </c>
      <c r="M56" s="214" t="s">
        <v>357</v>
      </c>
      <c r="N56" s="203"/>
      <c r="O56" s="275" t="s">
        <v>389</v>
      </c>
      <c r="P56" s="276"/>
      <c r="Q56" s="276"/>
      <c r="R56" s="276"/>
      <c r="S56" s="276"/>
      <c r="T56" s="276"/>
      <c r="U56" s="277"/>
      <c r="V56" s="15"/>
    </row>
    <row r="57" spans="2:25" s="16" customFormat="1" ht="117" customHeight="1" x14ac:dyDescent="0.2">
      <c r="B57" s="14"/>
      <c r="C57" s="22">
        <v>27</v>
      </c>
      <c r="D57" s="272" t="s">
        <v>296</v>
      </c>
      <c r="E57" s="273"/>
      <c r="F57" s="273"/>
      <c r="G57" s="273"/>
      <c r="H57" s="273"/>
      <c r="I57" s="273"/>
      <c r="J57" s="274"/>
      <c r="K57" s="124" t="s">
        <v>297</v>
      </c>
      <c r="M57" s="214" t="s">
        <v>357</v>
      </c>
      <c r="N57" s="203"/>
      <c r="O57" s="275" t="s">
        <v>390</v>
      </c>
      <c r="P57" s="276"/>
      <c r="Q57" s="276"/>
      <c r="R57" s="276"/>
      <c r="S57" s="276"/>
      <c r="T57" s="276"/>
      <c r="U57" s="277"/>
      <c r="V57" s="15"/>
    </row>
    <row r="58" spans="2:25" s="16" customFormat="1" ht="60" customHeight="1" x14ac:dyDescent="0.2">
      <c r="B58" s="14"/>
      <c r="C58" s="22">
        <v>28</v>
      </c>
      <c r="D58" s="272" t="s">
        <v>298</v>
      </c>
      <c r="E58" s="273"/>
      <c r="F58" s="273"/>
      <c r="G58" s="273"/>
      <c r="H58" s="273"/>
      <c r="I58" s="273"/>
      <c r="J58" s="274"/>
      <c r="K58" s="124" t="s">
        <v>299</v>
      </c>
      <c r="M58" s="214" t="s">
        <v>357</v>
      </c>
      <c r="N58" s="203"/>
      <c r="O58" s="275" t="s">
        <v>367</v>
      </c>
      <c r="P58" s="276"/>
      <c r="Q58" s="276"/>
      <c r="R58" s="276"/>
      <c r="S58" s="276"/>
      <c r="T58" s="276"/>
      <c r="U58" s="277"/>
      <c r="V58" s="15"/>
    </row>
    <row r="59" spans="2:25" s="16" customFormat="1" ht="15.75" x14ac:dyDescent="0.25">
      <c r="B59" s="14"/>
      <c r="M59" s="204" t="str">
        <f>IF(OR(ROUND(SUM(M54:M57),3)=100%,SUM(M54:M57)=0),"","Section must sum to 100%")</f>
        <v/>
      </c>
      <c r="V59" s="15"/>
    </row>
    <row r="60" spans="2:25" s="16" customFormat="1" ht="15.75" x14ac:dyDescent="0.2">
      <c r="B60" s="14"/>
      <c r="C60" s="278" t="s">
        <v>300</v>
      </c>
      <c r="D60" s="278"/>
      <c r="E60" s="278"/>
      <c r="F60" s="278"/>
      <c r="G60" s="278"/>
      <c r="H60" s="278"/>
      <c r="I60" s="278"/>
      <c r="J60" s="278"/>
      <c r="K60" s="278"/>
      <c r="L60" s="278"/>
      <c r="M60" s="278"/>
      <c r="N60" s="278"/>
      <c r="O60" s="278"/>
      <c r="P60" s="278"/>
      <c r="Q60" s="278"/>
      <c r="R60" s="278"/>
      <c r="S60" s="278"/>
      <c r="T60" s="278"/>
      <c r="U60" s="278"/>
      <c r="V60" s="15"/>
    </row>
    <row r="61" spans="2:25" s="16" customFormat="1" ht="4.3499999999999996" customHeight="1" x14ac:dyDescent="0.2">
      <c r="B61" s="14"/>
      <c r="F61" s="202"/>
      <c r="G61" s="202"/>
      <c r="H61" s="202"/>
      <c r="I61" s="202"/>
      <c r="J61" s="202"/>
      <c r="K61" s="202"/>
      <c r="L61" s="202"/>
      <c r="M61" s="202"/>
      <c r="N61" s="202"/>
      <c r="O61" s="202"/>
      <c r="P61" s="202"/>
      <c r="Q61" s="202"/>
      <c r="R61" s="202"/>
      <c r="S61" s="202"/>
      <c r="T61" s="202"/>
      <c r="V61" s="15"/>
    </row>
    <row r="62" spans="2:25" s="16" customFormat="1" ht="60" customHeight="1" x14ac:dyDescent="0.2">
      <c r="B62" s="14"/>
      <c r="C62" s="22">
        <v>29</v>
      </c>
      <c r="D62" s="272" t="s">
        <v>301</v>
      </c>
      <c r="E62" s="273"/>
      <c r="F62" s="273"/>
      <c r="G62" s="273"/>
      <c r="H62" s="273"/>
      <c r="I62" s="273"/>
      <c r="J62" s="274"/>
      <c r="K62" s="124" t="s">
        <v>302</v>
      </c>
      <c r="M62" s="214" t="s">
        <v>357</v>
      </c>
      <c r="N62" s="203"/>
      <c r="O62" s="279" t="s">
        <v>391</v>
      </c>
      <c r="P62" s="280"/>
      <c r="Q62" s="280"/>
      <c r="R62" s="280"/>
      <c r="S62" s="280"/>
      <c r="T62" s="280"/>
      <c r="U62" s="281"/>
      <c r="V62" s="15"/>
    </row>
    <row r="63" spans="2:25" s="16" customFormat="1" ht="15.6" customHeight="1" thickBot="1" x14ac:dyDescent="0.25">
      <c r="B63" s="23"/>
      <c r="C63" s="24"/>
      <c r="D63" s="24"/>
      <c r="E63" s="24"/>
      <c r="F63" s="24"/>
      <c r="G63" s="24"/>
      <c r="H63" s="24"/>
      <c r="I63" s="24"/>
      <c r="J63" s="24"/>
      <c r="K63" s="25"/>
      <c r="L63" s="26"/>
      <c r="M63" s="27"/>
      <c r="N63" s="28"/>
      <c r="O63" s="29"/>
      <c r="P63" s="29"/>
      <c r="Q63" s="29"/>
      <c r="R63" s="29"/>
      <c r="S63" s="29"/>
      <c r="T63" s="29"/>
      <c r="U63" s="29"/>
      <c r="V63" s="30"/>
    </row>
    <row r="64" spans="2:25" ht="39.6" customHeight="1" x14ac:dyDescent="0.2">
      <c r="C64" s="240"/>
      <c r="D64" s="240"/>
      <c r="E64" s="240"/>
      <c r="F64" s="240"/>
      <c r="G64" s="240"/>
      <c r="H64" s="240"/>
      <c r="I64" s="240"/>
      <c r="J64" s="240"/>
      <c r="K64" s="206"/>
      <c r="M64" s="196"/>
      <c r="N64" s="197"/>
      <c r="O64" s="198"/>
      <c r="P64" s="198"/>
      <c r="Q64" s="198"/>
      <c r="R64" s="198"/>
      <c r="S64" s="198"/>
      <c r="X64" s="31"/>
      <c r="Y64" s="31"/>
    </row>
    <row r="65" s="1" customFormat="1" ht="0" hidden="1" customHeight="1" x14ac:dyDescent="0.2"/>
    <row r="66" s="1" customFormat="1" ht="0" hidden="1" customHeight="1" x14ac:dyDescent="0.2"/>
    <row r="67" s="1" customFormat="1" ht="0" hidden="1" customHeight="1" x14ac:dyDescent="0.2"/>
    <row r="68" s="1" customFormat="1" ht="0" hidden="1" customHeight="1" x14ac:dyDescent="0.2"/>
    <row r="69" s="1" customFormat="1" ht="0" hidden="1" customHeight="1" x14ac:dyDescent="0.2"/>
    <row r="70" s="1" customFormat="1" ht="0" hidden="1" customHeight="1" x14ac:dyDescent="0.2"/>
  </sheetData>
  <sheetProtection formatCells="0" formatColumns="0" formatRows="0" insertColumns="0" insertRows="0"/>
  <mergeCells count="75">
    <mergeCell ref="C3:U3"/>
    <mergeCell ref="C5:U5"/>
    <mergeCell ref="C6:U6"/>
    <mergeCell ref="C7:U7"/>
    <mergeCell ref="O13:U13"/>
    <mergeCell ref="C14:U14"/>
    <mergeCell ref="D16:J16"/>
    <mergeCell ref="O16:U16"/>
    <mergeCell ref="D17:J17"/>
    <mergeCell ref="O17:U17"/>
    <mergeCell ref="D18:J18"/>
    <mergeCell ref="O18:U18"/>
    <mergeCell ref="D19:J19"/>
    <mergeCell ref="O19:U19"/>
    <mergeCell ref="D20:J20"/>
    <mergeCell ref="O20:U20"/>
    <mergeCell ref="D32:J32"/>
    <mergeCell ref="O32:U32"/>
    <mergeCell ref="C22:U22"/>
    <mergeCell ref="D24:J24"/>
    <mergeCell ref="O24:U24"/>
    <mergeCell ref="D25:J25"/>
    <mergeCell ref="O25:U25"/>
    <mergeCell ref="D26:J26"/>
    <mergeCell ref="O26:U26"/>
    <mergeCell ref="C28:U28"/>
    <mergeCell ref="D30:J30"/>
    <mergeCell ref="O30:U30"/>
    <mergeCell ref="D31:J31"/>
    <mergeCell ref="O31:U31"/>
    <mergeCell ref="D44:J44"/>
    <mergeCell ref="O44:U44"/>
    <mergeCell ref="D33:J33"/>
    <mergeCell ref="O33:U33"/>
    <mergeCell ref="D34:J34"/>
    <mergeCell ref="O34:U34"/>
    <mergeCell ref="C36:U36"/>
    <mergeCell ref="D38:J38"/>
    <mergeCell ref="O38:U38"/>
    <mergeCell ref="D39:J39"/>
    <mergeCell ref="O39:U39"/>
    <mergeCell ref="D40:J40"/>
    <mergeCell ref="O40:U40"/>
    <mergeCell ref="C42:U42"/>
    <mergeCell ref="D45:J45"/>
    <mergeCell ref="O45:U45"/>
    <mergeCell ref="D46:J46"/>
    <mergeCell ref="O46:U46"/>
    <mergeCell ref="D47:J47"/>
    <mergeCell ref="O47:U47"/>
    <mergeCell ref="D56:J56"/>
    <mergeCell ref="O56:U56"/>
    <mergeCell ref="D48:J48"/>
    <mergeCell ref="O48:U48"/>
    <mergeCell ref="D49:J49"/>
    <mergeCell ref="O49:U49"/>
    <mergeCell ref="C51:U51"/>
    <mergeCell ref="D53:J53"/>
    <mergeCell ref="O53:U53"/>
    <mergeCell ref="C64:J64"/>
    <mergeCell ref="C9:G10"/>
    <mergeCell ref="H9:U10"/>
    <mergeCell ref="C11:G11"/>
    <mergeCell ref="H11:U11"/>
    <mergeCell ref="D57:J57"/>
    <mergeCell ref="O57:U57"/>
    <mergeCell ref="D58:J58"/>
    <mergeCell ref="O58:U58"/>
    <mergeCell ref="C60:U60"/>
    <mergeCell ref="D62:J62"/>
    <mergeCell ref="O62:U62"/>
    <mergeCell ref="D54:J54"/>
    <mergeCell ref="O54:U54"/>
    <mergeCell ref="D55:J55"/>
    <mergeCell ref="O55:U55"/>
  </mergeCells>
  <dataValidations count="3">
    <dataValidation allowBlank="1" showInputMessage="1" showErrorMessage="1" prompt="Type comments, evidence, and proposed actions" sqref="O62:U62 O24:U26 O44:U49 O38:U40 O16:U20 O30:U34 O53:U58" xr:uid="{3D131E19-D3D8-4C58-8F90-890B14CBA1FB}"/>
    <dataValidation type="list" allowBlank="1" showInputMessage="1" showErrorMessage="1" prompt="Select answer from list" sqref="M62 M30:M34 M16:M20 M44:M49 M24:M26 M38:M40 M53:M58" xr:uid="{FB7FE8DE-B1C7-4AA2-BADB-DBA7ED1D4196}">
      <formula1>"Yes,In part,No"</formula1>
    </dataValidation>
    <dataValidation type="list" allowBlank="1" showInputMessage="1" showErrorMessage="1" sqref="M63:M64" xr:uid="{35DBA983-5318-4D2A-9D2C-DA05852DE636}">
      <formula1>$X$2:$Z$2</formula1>
    </dataValidation>
  </dataValidations>
  <hyperlinks>
    <hyperlink ref="K25" r:id="rId1" xr:uid="{218BB439-C645-41E7-8B3C-3D52064DED01}"/>
    <hyperlink ref="K26" r:id="rId2" xr:uid="{E5778448-7493-45F7-BD3E-A6732068A7A3}"/>
    <hyperlink ref="K16" r:id="rId3" xr:uid="{AD7AB109-6770-4728-B40E-B81C71D9FD55}"/>
    <hyperlink ref="K18" r:id="rId4" xr:uid="{06A3522A-D2A8-400C-B471-126A2CB32AFA}"/>
    <hyperlink ref="K19" r:id="rId5" xr:uid="{24CED4EA-9086-43FD-93F1-B3D13AE3B3C9}"/>
    <hyperlink ref="K20" r:id="rId6" xr:uid="{53C06377-4C23-4834-BB87-A8295357F7D1}"/>
    <hyperlink ref="K24" r:id="rId7" xr:uid="{4B1F6972-7399-41E4-A0CF-11C9987CCEF3}"/>
    <hyperlink ref="K30" r:id="rId8" xr:uid="{C1E1B29F-DAF0-420A-9723-C5872DA7CB11}"/>
    <hyperlink ref="K31" r:id="rId9" xr:uid="{5D8260AF-E0C3-49B8-9B93-FBA6111769DF}"/>
    <hyperlink ref="K32" r:id="rId10" xr:uid="{831D27ED-F6FB-4F66-AFEC-82FB11A4C95E}"/>
    <hyperlink ref="K33" r:id="rId11" xr:uid="{E1D0529F-DFA6-4A20-B03C-6B4F78101B65}"/>
    <hyperlink ref="K34" r:id="rId12" xr:uid="{14AAA4BF-D857-44F0-B5AE-996C56862079}"/>
    <hyperlink ref="K38" r:id="rId13" xr:uid="{4ABB8AFC-5E84-4AE1-B344-BA6837E8A048}"/>
    <hyperlink ref="K39" r:id="rId14" xr:uid="{8EAC8D1F-B4ED-4A6C-B71F-CE0AFA892824}"/>
    <hyperlink ref="K44" r:id="rId15" xr:uid="{85EE4FC3-F558-49F5-B73E-D6A240F8C0B6}"/>
    <hyperlink ref="K45" r:id="rId16" xr:uid="{568B5A95-56FD-47AD-86FC-DB5EE9F43362}"/>
    <hyperlink ref="K46" r:id="rId17" xr:uid="{952E4424-23C1-411A-BABA-88051C78E46A}"/>
    <hyperlink ref="K47" r:id="rId18" xr:uid="{70E4C457-1984-4C5C-A252-FDB6E87AD9A4}"/>
    <hyperlink ref="K48" r:id="rId19" xr:uid="{F0A4D12E-2C8F-4E4E-945D-31A8CFCECBBF}"/>
    <hyperlink ref="K49" r:id="rId20" xr:uid="{EB300DE0-8F77-42C6-A6D7-B1677F21C8A8}"/>
    <hyperlink ref="K53" r:id="rId21" xr:uid="{3EBC8228-3072-4D46-8BDB-205DD04ADAA7}"/>
    <hyperlink ref="K54" r:id="rId22" xr:uid="{B239CF4C-EF07-4D20-A020-77AEFF2DC2BA}"/>
    <hyperlink ref="K55" r:id="rId23" xr:uid="{67B62BF1-D7D1-44F9-B4B4-360291DD1BAB}"/>
    <hyperlink ref="K56" r:id="rId24" xr:uid="{8C10E1CC-AF35-46AC-990E-A124B5BEB657}"/>
    <hyperlink ref="K57" r:id="rId25" xr:uid="{28D3253A-2ADC-4B16-B0EA-4BD78BEB5257}"/>
    <hyperlink ref="K62" r:id="rId26" xr:uid="{D7F3380D-D9FC-48E9-BCC0-B2B9422A6E3D}"/>
    <hyperlink ref="K17" r:id="rId27" xr:uid="{80B010B3-98DB-402A-97E6-3422F407C48A}"/>
    <hyperlink ref="K40" r:id="rId28" xr:uid="{F37342FC-0CAF-4A3D-A646-9FA4843E18E3}"/>
    <hyperlink ref="K58" r:id="rId29" xr:uid="{4B67B6E9-3AA7-4F4F-AADB-8ED55EF0F077}"/>
    <hyperlink ref="C6:U6" r:id="rId30" display="Guidance on completion of this document can be found here. This guidance also includes examples of good practice and details further support available to assist governing bodies in addressing specific issues. Clicking on the individual questions below wil" xr:uid="{20306CA7-C05E-4B60-9BDB-73CDECFCC9C1}"/>
  </hyperlinks>
  <pageMargins left="0.70866141732283472" right="0.70866141732283472" top="0.74803149606299213" bottom="0.74803149606299213" header="0.31496062992125984" footer="0.31496062992125984"/>
  <pageSetup paperSize="9" scale="48" fitToHeight="0" orientation="portrait" cellComments="asDisplayed" r:id="rId31"/>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pageSetUpPr fitToPage="1"/>
  </sheetPr>
  <dimension ref="A1:CI80"/>
  <sheetViews>
    <sheetView showGridLines="0" topLeftCell="A45" zoomScale="80" zoomScaleNormal="80" workbookViewId="0">
      <selection activeCell="C65" sqref="C65:I71"/>
    </sheetView>
  </sheetViews>
  <sheetFormatPr defaultColWidth="0" defaultRowHeight="0" customHeight="1" zeroHeight="1" x14ac:dyDescent="0.2"/>
  <cols>
    <col min="1" max="1" width="8" style="1" customWidth="1"/>
    <col min="2" max="2" width="2.5703125" style="1" customWidth="1"/>
    <col min="3" max="4" width="42.28515625" style="1" customWidth="1"/>
    <col min="5" max="5" width="12.140625" style="1" customWidth="1"/>
    <col min="6" max="6" width="8" style="1" customWidth="1"/>
    <col min="7" max="7" width="18" style="1" customWidth="1"/>
    <col min="8" max="8" width="1.5703125" style="1" customWidth="1"/>
    <col min="9" max="9" width="36.5703125" style="1" customWidth="1"/>
    <col min="10" max="10" width="2.5703125" style="1" customWidth="1"/>
    <col min="11" max="11" width="9" style="1" customWidth="1"/>
    <col min="12" max="12" width="36.5703125" style="1" hidden="1" customWidth="1"/>
    <col min="13" max="13" width="8" style="1" hidden="1" customWidth="1"/>
    <col min="14" max="14" width="18" style="1" hidden="1" customWidth="1"/>
    <col min="15" max="15" width="1.5703125" style="1" hidden="1" customWidth="1"/>
    <col min="16" max="16" width="36.5703125" style="1" hidden="1" customWidth="1"/>
    <col min="17" max="17" width="8" style="1" hidden="1" customWidth="1"/>
    <col min="18" max="18" width="18" style="1" hidden="1" customWidth="1"/>
    <col min="19" max="19" width="1.5703125" style="1" hidden="1" customWidth="1"/>
    <col min="20" max="20" width="36.5703125" style="1" hidden="1" customWidth="1"/>
    <col min="21" max="21" width="8" style="1" hidden="1" customWidth="1"/>
    <col min="22" max="22" width="18" style="1" hidden="1" customWidth="1"/>
    <col min="23" max="23" width="1.5703125" style="1" hidden="1" customWidth="1"/>
    <col min="24" max="24" width="36.5703125" style="1" hidden="1" customWidth="1"/>
    <col min="25" max="25" width="8" style="1" hidden="1" customWidth="1"/>
    <col min="26" max="26" width="18" style="1" hidden="1" customWidth="1"/>
    <col min="27" max="27" width="1.5703125" style="1" hidden="1" customWidth="1"/>
    <col min="28" max="28" width="36.5703125" style="1" hidden="1" customWidth="1"/>
    <col min="29" max="29" width="8" style="1" hidden="1" customWidth="1"/>
    <col min="30" max="30" width="18" style="1" hidden="1" customWidth="1"/>
    <col min="31" max="31" width="1.5703125" style="1" hidden="1" customWidth="1"/>
    <col min="32" max="32" width="36.5703125" style="1" hidden="1" customWidth="1"/>
    <col min="33" max="33" width="8" style="1" hidden="1" customWidth="1"/>
    <col min="34" max="34" width="18" style="1" hidden="1" customWidth="1"/>
    <col min="35" max="35" width="1.5703125" style="1" hidden="1" customWidth="1"/>
    <col min="36" max="36" width="36.5703125" style="1" hidden="1" customWidth="1"/>
    <col min="37" max="37" width="8" style="1" hidden="1" customWidth="1"/>
    <col min="38" max="38" width="18" style="1" hidden="1" customWidth="1"/>
    <col min="39" max="39" width="1.5703125" style="1" hidden="1" customWidth="1"/>
    <col min="40" max="40" width="36.5703125" style="1" hidden="1" customWidth="1"/>
    <col min="41" max="41" width="8" style="1" hidden="1" customWidth="1"/>
    <col min="42" max="42" width="18" style="1" hidden="1" customWidth="1"/>
    <col min="43" max="43" width="1.5703125" style="1" hidden="1" customWidth="1"/>
    <col min="44" max="44" width="36.5703125" style="1" hidden="1" customWidth="1"/>
    <col min="45" max="45" width="8" style="1" hidden="1" customWidth="1"/>
    <col min="46" max="46" width="18" style="1" hidden="1" customWidth="1"/>
    <col min="47" max="47" width="1.5703125" style="1" hidden="1" customWidth="1"/>
    <col min="48" max="48" width="36.5703125" style="1" hidden="1" customWidth="1"/>
    <col min="49" max="49" width="8" style="1" hidden="1" customWidth="1"/>
    <col min="50" max="50" width="18" style="1" hidden="1" customWidth="1"/>
    <col min="51" max="51" width="1.5703125" style="1" hidden="1" customWidth="1"/>
    <col min="52" max="52" width="36.5703125" style="1" hidden="1" customWidth="1"/>
    <col min="53" max="53" width="8" style="1" hidden="1" customWidth="1"/>
    <col min="54" max="54" width="18" style="1" hidden="1" customWidth="1"/>
    <col min="55" max="55" width="1.5703125" style="1" hidden="1" customWidth="1"/>
    <col min="56" max="56" width="36.5703125" style="1" hidden="1" customWidth="1"/>
    <col min="57" max="57" width="8" style="1" hidden="1" customWidth="1"/>
    <col min="58" max="58" width="18" style="1" hidden="1" customWidth="1"/>
    <col min="59" max="59" width="1.5703125" style="1" hidden="1" customWidth="1"/>
    <col min="60" max="60" width="36.5703125" style="1" hidden="1" customWidth="1"/>
    <col min="61" max="61" width="8" style="1" hidden="1" customWidth="1"/>
    <col min="62" max="62" width="18" style="1" hidden="1" customWidth="1"/>
    <col min="63" max="63" width="1.5703125" style="1" hidden="1" customWidth="1"/>
    <col min="64" max="64" width="36.5703125" style="1" hidden="1" customWidth="1"/>
    <col min="65" max="65" width="8" style="1" hidden="1" customWidth="1"/>
    <col min="66" max="66" width="18" style="1" hidden="1" customWidth="1"/>
    <col min="67" max="67" width="1.5703125" style="1" hidden="1" customWidth="1"/>
    <col min="68" max="68" width="36.5703125" style="1" hidden="1" customWidth="1"/>
    <col min="69" max="69" width="8" style="1" hidden="1" customWidth="1"/>
    <col min="70" max="70" width="18" style="1" hidden="1" customWidth="1"/>
    <col min="71" max="71" width="1.5703125" style="1" hidden="1" customWidth="1"/>
    <col min="72" max="72" width="36.5703125" style="1" hidden="1" customWidth="1"/>
    <col min="73" max="73" width="8" style="1" hidden="1" customWidth="1"/>
    <col min="74" max="74" width="18" style="1" hidden="1" customWidth="1"/>
    <col min="75" max="75" width="1.5703125" style="1" hidden="1" customWidth="1"/>
    <col min="76" max="76" width="36.5703125" style="1" hidden="1" customWidth="1"/>
    <col min="77" max="77" width="8" style="1" hidden="1" customWidth="1"/>
    <col min="78" max="78" width="18" style="1" hidden="1" customWidth="1"/>
    <col min="79" max="79" width="1.5703125" style="1" hidden="1" customWidth="1"/>
    <col min="80" max="80" width="36.5703125" style="1" hidden="1" customWidth="1"/>
    <col min="81" max="81" width="8" style="1" hidden="1" customWidth="1"/>
    <col min="82" max="82" width="18" style="1" hidden="1" customWidth="1"/>
    <col min="83" max="83" width="1.5703125" style="1" hidden="1" customWidth="1"/>
    <col min="84" max="84" width="36.5703125" style="1" hidden="1" customWidth="1"/>
    <col min="85" max="87" width="0" style="1" hidden="1" customWidth="1"/>
    <col min="88" max="16384" width="9" style="1" hidden="1"/>
  </cols>
  <sheetData>
    <row r="1" spans="1:10" ht="14.25" customHeight="1" thickBot="1" x14ac:dyDescent="0.25"/>
    <row r="2" spans="1:10" ht="13.5" customHeight="1" x14ac:dyDescent="0.2">
      <c r="B2" s="2"/>
      <c r="C2" s="3"/>
      <c r="D2" s="3"/>
      <c r="E2" s="3"/>
      <c r="F2" s="3"/>
      <c r="G2" s="3"/>
      <c r="H2" s="3"/>
      <c r="I2" s="3"/>
      <c r="J2" s="4"/>
    </row>
    <row r="3" spans="1:10" ht="24.95" customHeight="1" x14ac:dyDescent="0.2">
      <c r="B3" s="6"/>
      <c r="C3" s="322" t="s">
        <v>348</v>
      </c>
      <c r="D3" s="322"/>
      <c r="E3" s="322"/>
      <c r="F3" s="322"/>
      <c r="G3" s="322"/>
      <c r="H3" s="322"/>
      <c r="I3" s="322"/>
      <c r="J3" s="7"/>
    </row>
    <row r="4" spans="1:10" ht="14.85" customHeight="1" x14ac:dyDescent="0.2">
      <c r="B4" s="6"/>
      <c r="C4" s="5"/>
      <c r="D4" s="5"/>
      <c r="E4" s="5"/>
      <c r="F4" s="5"/>
      <c r="G4" s="5"/>
      <c r="H4" s="5"/>
      <c r="I4" s="5"/>
      <c r="J4" s="7"/>
    </row>
    <row r="5" spans="1:10" ht="106.5" customHeight="1" x14ac:dyDescent="0.2">
      <c r="B5" s="6"/>
      <c r="C5" s="316" t="s">
        <v>327</v>
      </c>
      <c r="D5" s="317"/>
      <c r="E5" s="317"/>
      <c r="F5" s="317"/>
      <c r="G5" s="317"/>
      <c r="H5" s="317"/>
      <c r="I5" s="318"/>
      <c r="J5" s="7"/>
    </row>
    <row r="6" spans="1:10" ht="14.85" customHeight="1" x14ac:dyDescent="0.2">
      <c r="B6" s="6"/>
      <c r="C6" s="5"/>
      <c r="D6" s="5"/>
      <c r="E6" s="5"/>
      <c r="F6" s="5"/>
      <c r="G6" s="5"/>
      <c r="H6" s="5"/>
      <c r="I6" s="5"/>
      <c r="J6" s="7"/>
    </row>
    <row r="7" spans="1:10" ht="74.849999999999994" customHeight="1" x14ac:dyDescent="0.2">
      <c r="B7" s="6"/>
      <c r="C7" s="323" t="s">
        <v>326</v>
      </c>
      <c r="D7" s="324"/>
      <c r="E7" s="324"/>
      <c r="F7" s="324"/>
      <c r="G7" s="324"/>
      <c r="H7" s="324"/>
      <c r="I7" s="325"/>
      <c r="J7" s="7"/>
    </row>
    <row r="8" spans="1:10" ht="36.75" customHeight="1" x14ac:dyDescent="0.2">
      <c r="B8" s="6"/>
      <c r="C8" s="309" t="s">
        <v>224</v>
      </c>
      <c r="D8" s="310"/>
      <c r="E8" s="310"/>
      <c r="F8" s="310"/>
      <c r="G8" s="310"/>
      <c r="H8" s="310"/>
      <c r="I8" s="311"/>
      <c r="J8" s="7"/>
    </row>
    <row r="9" spans="1:10" ht="37.5" customHeight="1" x14ac:dyDescent="0.2">
      <c r="B9" s="6"/>
      <c r="C9" s="326" t="s">
        <v>337</v>
      </c>
      <c r="D9" s="327"/>
      <c r="E9" s="327"/>
      <c r="F9" s="327"/>
      <c r="G9" s="327"/>
      <c r="H9" s="327"/>
      <c r="I9" s="328"/>
      <c r="J9" s="7"/>
    </row>
    <row r="10" spans="1:10" ht="14.85" customHeight="1" x14ac:dyDescent="0.2">
      <c r="B10" s="6"/>
      <c r="C10" s="5"/>
      <c r="D10" s="5"/>
      <c r="E10" s="5"/>
      <c r="F10" s="5"/>
      <c r="G10" s="5"/>
      <c r="H10" s="5"/>
      <c r="I10" s="5"/>
      <c r="J10" s="7"/>
    </row>
    <row r="11" spans="1:10" ht="52.5" customHeight="1" x14ac:dyDescent="0.2">
      <c r="B11" s="6"/>
      <c r="C11" s="329" t="s">
        <v>238</v>
      </c>
      <c r="D11" s="330"/>
      <c r="E11" s="330"/>
      <c r="F11" s="330"/>
      <c r="G11" s="330"/>
      <c r="H11" s="330"/>
      <c r="I11" s="331"/>
      <c r="J11" s="7"/>
    </row>
    <row r="12" spans="1:10" ht="14.85" customHeight="1" x14ac:dyDescent="0.2">
      <c r="B12" s="6"/>
      <c r="C12" s="5"/>
      <c r="D12" s="5"/>
      <c r="E12" s="5"/>
      <c r="F12" s="5"/>
      <c r="G12" s="5"/>
      <c r="H12" s="5"/>
      <c r="I12" s="5"/>
      <c r="J12" s="7"/>
    </row>
    <row r="13" spans="1:10" ht="17.100000000000001" customHeight="1" x14ac:dyDescent="0.2">
      <c r="B13" s="6"/>
      <c r="C13" s="319" t="s">
        <v>330</v>
      </c>
      <c r="D13" s="319"/>
      <c r="E13" s="319"/>
      <c r="F13" s="130"/>
      <c r="G13" s="130"/>
      <c r="H13" s="138"/>
      <c r="I13" s="138"/>
      <c r="J13" s="7"/>
    </row>
    <row r="14" spans="1:10" s="148" customFormat="1" ht="14.85" customHeight="1" x14ac:dyDescent="0.2">
      <c r="A14" s="148" t="s">
        <v>233</v>
      </c>
      <c r="B14" s="145"/>
      <c r="C14" s="146"/>
      <c r="D14" s="146"/>
      <c r="E14" s="146"/>
      <c r="F14" s="146"/>
      <c r="G14" s="146">
        <v>1</v>
      </c>
      <c r="H14" s="146"/>
      <c r="I14" s="146"/>
      <c r="J14" s="147"/>
    </row>
    <row r="15" spans="1:10" ht="17.100000000000001" customHeight="1" x14ac:dyDescent="0.2">
      <c r="B15" s="6"/>
      <c r="C15" s="189" t="s">
        <v>6</v>
      </c>
      <c r="D15" s="211" t="s">
        <v>368</v>
      </c>
      <c r="F15" s="306" t="s">
        <v>329</v>
      </c>
      <c r="G15" s="307"/>
      <c r="H15" s="307"/>
      <c r="I15" s="308"/>
      <c r="J15" s="8"/>
    </row>
    <row r="16" spans="1:10" ht="17.100000000000001" customHeight="1" x14ac:dyDescent="0.2">
      <c r="B16" s="6"/>
      <c r="C16" s="189" t="s">
        <v>328</v>
      </c>
      <c r="D16" s="212" t="s">
        <v>369</v>
      </c>
      <c r="F16" s="216"/>
      <c r="G16" s="217"/>
      <c r="H16" s="217"/>
      <c r="I16" s="218"/>
      <c r="J16" s="8"/>
    </row>
    <row r="17" spans="2:10" ht="17.100000000000001" customHeight="1" x14ac:dyDescent="0.2">
      <c r="B17" s="6"/>
      <c r="C17" s="189" t="s">
        <v>17</v>
      </c>
      <c r="D17" s="212" t="s">
        <v>21</v>
      </c>
      <c r="F17" s="309" t="s">
        <v>336</v>
      </c>
      <c r="G17" s="310"/>
      <c r="H17" s="310"/>
      <c r="I17" s="311"/>
      <c r="J17" s="8"/>
    </row>
    <row r="18" spans="2:10" ht="17.100000000000001" customHeight="1" x14ac:dyDescent="0.2">
      <c r="B18" s="6"/>
      <c r="C18" s="189" t="s">
        <v>18</v>
      </c>
      <c r="D18" s="212" t="s">
        <v>370</v>
      </c>
      <c r="F18" s="309"/>
      <c r="G18" s="310"/>
      <c r="H18" s="310"/>
      <c r="I18" s="311"/>
      <c r="J18" s="8"/>
    </row>
    <row r="19" spans="2:10" ht="17.100000000000001" customHeight="1" x14ac:dyDescent="0.2">
      <c r="B19" s="6"/>
      <c r="C19" s="189" t="s">
        <v>19</v>
      </c>
      <c r="D19" s="212">
        <v>129</v>
      </c>
      <c r="F19" s="309"/>
      <c r="G19" s="310"/>
      <c r="H19" s="310"/>
      <c r="I19" s="311"/>
      <c r="J19" s="8"/>
    </row>
    <row r="20" spans="2:10" ht="17.100000000000001" customHeight="1" x14ac:dyDescent="0.2">
      <c r="B20" s="6"/>
      <c r="C20" s="190" t="s">
        <v>220</v>
      </c>
      <c r="D20" s="213">
        <v>0.1007</v>
      </c>
      <c r="F20" s="219"/>
      <c r="G20" s="220"/>
      <c r="H20" s="220"/>
      <c r="I20" s="221"/>
      <c r="J20" s="8"/>
    </row>
    <row r="21" spans="2:10" s="171" customFormat="1" ht="17.100000000000001" customHeight="1" x14ac:dyDescent="0.2">
      <c r="B21" s="172"/>
      <c r="C21" s="230" t="s">
        <v>340</v>
      </c>
      <c r="D21" s="231" t="s">
        <v>356</v>
      </c>
      <c r="F21" s="222"/>
      <c r="G21" s="223"/>
      <c r="H21" s="223"/>
      <c r="I21" s="224"/>
      <c r="J21" s="173"/>
    </row>
    <row r="22" spans="2:10" s="143" customFormat="1" ht="17.850000000000001" customHeight="1" x14ac:dyDescent="0.25">
      <c r="B22" s="141"/>
      <c r="F22" s="225"/>
      <c r="G22" s="226"/>
      <c r="H22" s="226"/>
      <c r="I22" s="227"/>
      <c r="J22" s="142"/>
    </row>
    <row r="23" spans="2:10" ht="17.100000000000001" customHeight="1" x14ac:dyDescent="0.2">
      <c r="B23" s="6"/>
      <c r="C23" s="320" t="s">
        <v>223</v>
      </c>
      <c r="D23" s="320"/>
      <c r="E23" s="320"/>
      <c r="J23" s="7"/>
    </row>
    <row r="24" spans="2:10" ht="17.100000000000001" customHeight="1" x14ac:dyDescent="0.2">
      <c r="B24" s="6"/>
      <c r="C24" s="312" t="str">
        <f>IF(OR(D$17="",D$18="",D$19="",D$20=""),"",
"- "&amp;Calcs!$J29&amp;
IF(D17="Primary"," primary schools with ",IF(D17="Secondary with sixth form"," secondary schools with a sixth form with ",IF(D17="Secondary without sixth form"," secondary schools without a sixth form with ",IF(D17="Special","special schools",IF(D17="Alternative provision","alternative provision schools",IF(D17="All-through","all-through schools",IF(D17="Nursery","nursery schools","")))))))&amp;Calcs!$K29)</f>
        <v>- small primary schools with medium levels of FSM</v>
      </c>
      <c r="D24" s="312"/>
      <c r="E24" s="210"/>
      <c r="J24" s="7"/>
    </row>
    <row r="25" spans="2:10" ht="14.85" customHeight="1" x14ac:dyDescent="0.2">
      <c r="B25" s="6"/>
      <c r="C25" s="312" t="str">
        <f>IF(OR(D$17="",D$18="",D$19="",D$20=""),"",
IF(D17="Primary","- primary schools ",IF(D17="Secondary with sixth form","- secondary schools with a sixth form ",IF(D17="Secondary without sixth form","- secondary schools without a sixth form ",IF(D17="Special","- special schools ",IF(D17="Alternative provision","- alternative provision schools ",IF(D17="All-through","- all-through schools ",IF(D17="Nursery","- nursery schools ","")))))))&amp;Calcs!$I29&amp;" (for average teacher cost only)")</f>
        <v>- primary schools outside London (for average teacher cost only)</v>
      </c>
      <c r="D25" s="312"/>
      <c r="E25" s="210"/>
      <c r="I25" s="137"/>
      <c r="J25" s="7"/>
    </row>
    <row r="26" spans="2:10" ht="15.6" customHeight="1" x14ac:dyDescent="0.2">
      <c r="B26" s="6"/>
      <c r="G26" s="314" t="s">
        <v>222</v>
      </c>
      <c r="H26" s="188"/>
      <c r="I26" s="315" t="s">
        <v>23</v>
      </c>
      <c r="J26" s="7"/>
    </row>
    <row r="27" spans="2:10" ht="15.6" customHeight="1" x14ac:dyDescent="0.2">
      <c r="B27" s="6"/>
      <c r="C27" s="5"/>
      <c r="D27" s="5"/>
      <c r="G27" s="314"/>
      <c r="H27" s="188"/>
      <c r="I27" s="315"/>
      <c r="J27" s="7"/>
    </row>
    <row r="28" spans="2:10" ht="17.100000000000001" customHeight="1" x14ac:dyDescent="0.2">
      <c r="B28" s="6"/>
      <c r="C28" s="321" t="s">
        <v>221</v>
      </c>
      <c r="D28" s="321"/>
      <c r="E28" s="321"/>
      <c r="F28" s="138"/>
      <c r="G28" s="138"/>
      <c r="H28" s="138"/>
      <c r="I28" s="138"/>
      <c r="J28" s="7"/>
    </row>
    <row r="29" spans="2:10" ht="4.3499999999999996" customHeight="1" x14ac:dyDescent="0.2">
      <c r="B29" s="6"/>
      <c r="C29" s="9"/>
      <c r="D29" s="9"/>
      <c r="E29" s="10"/>
      <c r="F29" s="10"/>
      <c r="G29" s="10"/>
      <c r="H29" s="10"/>
      <c r="I29" s="10"/>
      <c r="J29" s="7"/>
    </row>
    <row r="30" spans="2:10" ht="17.100000000000001" customHeight="1" x14ac:dyDescent="0.2">
      <c r="B30" s="6"/>
      <c r="C30" s="295" t="s">
        <v>24</v>
      </c>
      <c r="D30" s="296"/>
      <c r="E30" s="215" t="s">
        <v>59</v>
      </c>
      <c r="F30" s="36"/>
      <c r="G30" s="132">
        <v>0.505</v>
      </c>
      <c r="I30" s="136" t="str">
        <f ca="1">IF(OR(D$17="",D$18="",D$19="",D$20="",D$21="",G30=""),"",
IF(G30&lt;=Calcs!C9,Lowest10,
IF(AND(G30&gt;Calcs!C9,G30&lt;=Calcs!D9),Lowest20,
IF(AND(G30&gt;Calcs!D9,G30&lt;=Calcs!E9),Inline,
IF(AND(G30&gt;Calcs!E9,G30&lt;=Calcs!G9),Middle20,
IF(AND(G30&gt;Calcs!G9,G30&lt;=Calcs!H9),Inline,
IF(AND(G30&gt;Calcs!H9,G30&lt;=Calcs!I9),Highest20,
IF(G30&gt;Calcs!I9,Highest10,""))))))))</f>
        <v>Broadly in line with similar schools</v>
      </c>
      <c r="J30" s="7"/>
    </row>
    <row r="31" spans="2:10" ht="17.100000000000001" customHeight="1" x14ac:dyDescent="0.2">
      <c r="B31" s="6"/>
      <c r="C31" s="295" t="s">
        <v>25</v>
      </c>
      <c r="D31" s="296"/>
      <c r="E31" s="215" t="s">
        <v>59</v>
      </c>
      <c r="F31" s="36"/>
      <c r="G31" s="133">
        <v>1.23E-2</v>
      </c>
      <c r="I31" s="136" t="str">
        <f ca="1">IF(OR(D$17="",D$18="",D$19="",D$20="",G31=""),"",
IF(G31&lt;=Calcs!E10,Inline,
IF(AND(G31&gt;Calcs!E10,G31&lt;=Calcs!G10),Middle20,
IF(AND(G31&gt;Calcs!G10,G31&lt;=Calcs!H10),Inline,
IF(AND(G31&gt;Calcs!H10,G31&lt;=Calcs!I10),Highest20,
IF(G31&gt;Calcs!I10,Highest10,""))))))</f>
        <v>Broadly in line with similar schools</v>
      </c>
      <c r="J31" s="7"/>
    </row>
    <row r="32" spans="2:10" ht="17.100000000000001" customHeight="1" x14ac:dyDescent="0.2">
      <c r="B32" s="6"/>
      <c r="C32" s="295" t="s">
        <v>26</v>
      </c>
      <c r="D32" s="296"/>
      <c r="E32" s="215" t="s">
        <v>59</v>
      </c>
      <c r="F32" s="36"/>
      <c r="G32" s="133">
        <v>0.16539999999999999</v>
      </c>
      <c r="I32" s="136" t="str">
        <f ca="1">IF(OR(D$17="",D$18="",D$19="",D$20="",G32=""),"",
IF(G32&lt;=Calcs!E11,Inline,
IF(AND(G32&gt;Calcs!E11,G32&lt;=Calcs!G11),Middle20,
IF(AND(G32&gt;Calcs!G11,G32&lt;=Calcs!H11),Inline,
IF(AND(G32&gt;Calcs!H11,G32&lt;=Calcs!I11),Highest20,
IF(G32&gt;Calcs!I11,Highest10,""))))))</f>
        <v>Middle 20% of similar schools</v>
      </c>
      <c r="J32" s="7"/>
    </row>
    <row r="33" spans="2:10" ht="17.100000000000001" customHeight="1" x14ac:dyDescent="0.2">
      <c r="B33" s="6"/>
      <c r="C33" s="295" t="s">
        <v>27</v>
      </c>
      <c r="D33" s="296"/>
      <c r="E33" s="215" t="s">
        <v>59</v>
      </c>
      <c r="F33" s="36"/>
      <c r="G33" s="132">
        <v>4.8099999999999997E-2</v>
      </c>
      <c r="I33" s="136" t="str">
        <f ca="1">IF(OR(D$17="",D$18="",D$19="",D$20="",G33=""),"",
IF(G33&lt;=Calcs!H12,Inline,
IF(AND(G33&gt;Calcs!H12,G33&lt;=Calcs!I12),Highest20,
IF(G33&gt;Calcs!I12,Highest10,""))))</f>
        <v>Broadly in line with similar schools</v>
      </c>
      <c r="J33" s="7"/>
    </row>
    <row r="34" spans="2:10" ht="17.100000000000001" customHeight="1" x14ac:dyDescent="0.2">
      <c r="B34" s="6"/>
      <c r="C34" s="295" t="s">
        <v>28</v>
      </c>
      <c r="D34" s="296"/>
      <c r="E34" s="215" t="s">
        <v>59</v>
      </c>
      <c r="F34" s="36"/>
      <c r="G34" s="133">
        <v>2.86E-2</v>
      </c>
      <c r="I34" s="136" t="str">
        <f ca="1">IF(OR(D$17="",D$18="",D$19="",D$20="",G34=""),"",
IF(G34&lt;=Calcs!H13,Inline,
IF(AND(G34&gt;Calcs!H13,G34&lt;=Calcs!I13),Highest20,
IF(G34&gt;Calcs!I13,Highest10,""))))</f>
        <v>Broadly in line with similar schools</v>
      </c>
      <c r="J34" s="7"/>
    </row>
    <row r="35" spans="2:10" ht="17.100000000000001" customHeight="1" x14ac:dyDescent="0.2">
      <c r="B35" s="6"/>
      <c r="C35" s="295" t="s">
        <v>29</v>
      </c>
      <c r="D35" s="296"/>
      <c r="E35" s="215" t="s">
        <v>59</v>
      </c>
      <c r="F35" s="36"/>
      <c r="G35" s="133">
        <v>4.48E-2</v>
      </c>
      <c r="I35" s="136" t="str">
        <f ca="1">IF(OR(D$17="",D$18="",D$19="",D$20="",G35=""),"",
IF(G35&lt;=Calcs!H14,Inline,
IF(AND(G35&gt;Calcs!H14,G35&lt;=Calcs!I14),Highest20,
IF(G35&gt;Calcs!I14,Highest10,""))))</f>
        <v>Broadly in line with similar schools</v>
      </c>
      <c r="J35" s="7"/>
    </row>
    <row r="36" spans="2:10" ht="17.100000000000001" customHeight="1" x14ac:dyDescent="0.2">
      <c r="B36" s="6"/>
      <c r="C36" s="295" t="s">
        <v>56</v>
      </c>
      <c r="D36" s="296"/>
      <c r="E36" s="215" t="s">
        <v>59</v>
      </c>
      <c r="F36" s="36"/>
      <c r="G36" s="132">
        <v>6.7000000000000004E-2</v>
      </c>
      <c r="I36" s="136" t="str">
        <f ca="1">IF(OR(D$17="",D$18="",D$19="",D$20="",G36=""),"",
IF(G36&lt;=Calcs!C15,Lowest10,
IF(AND(G36&gt;Calcs!C15,G36&lt;=Calcs!D15),Lowest20,
IF(AND(G36&gt;Calcs!D15,G36&lt;=Calcs!E15),Inline,
IF(AND(G36&gt;Calcs!E15,G36&lt;=Calcs!G15),Middle20,
IF(G36&gt;Calcs!G15,Inline,""))))))</f>
        <v>Broadly in line with similar schools</v>
      </c>
      <c r="J36" s="7"/>
    </row>
    <row r="37" spans="2:10" ht="17.100000000000001" customHeight="1" x14ac:dyDescent="0.2">
      <c r="B37" s="6"/>
      <c r="C37" s="295" t="s">
        <v>31</v>
      </c>
      <c r="D37" s="296"/>
      <c r="E37" s="215" t="s">
        <v>59</v>
      </c>
      <c r="F37" s="36"/>
      <c r="G37" s="133">
        <v>1.52E-2</v>
      </c>
      <c r="I37" s="136" t="str">
        <f ca="1">IF(OR(D$17="",D$18="",D$19="",D$20="",G37=""),"",
IF(G37&lt;=Calcs!H16,Inline,
IF(AND(G37&gt;Calcs!H16,G37&lt;=Calcs!I16),Highest20,
IF(G37&gt;Calcs!I16,Highest10,""))))</f>
        <v>Broadly in line with similar schools</v>
      </c>
      <c r="J37" s="7"/>
    </row>
    <row r="38" spans="2:10" ht="17.100000000000001" customHeight="1" x14ac:dyDescent="0.2">
      <c r="B38" s="6"/>
      <c r="C38" s="295" t="s">
        <v>30</v>
      </c>
      <c r="D38" s="296"/>
      <c r="E38" s="215" t="s">
        <v>59</v>
      </c>
      <c r="F38" s="36"/>
      <c r="G38" s="133">
        <v>0.11360000000000001</v>
      </c>
      <c r="I38" s="136" t="str">
        <f>IF(OR(D$17="",D$18="",D$19="",D$20="",G38=""),"","N/A")</f>
        <v>N/A</v>
      </c>
      <c r="J38" s="7"/>
    </row>
    <row r="39" spans="2:10" ht="15.75" x14ac:dyDescent="0.25">
      <c r="B39" s="6"/>
      <c r="C39" s="9"/>
      <c r="D39" s="9"/>
      <c r="E39" s="9"/>
      <c r="F39" s="9"/>
      <c r="G39" s="204" t="str">
        <f>IF(OR(ROUND(SUM(G30:G38),3)=100%,SUM(G30:G38)=0),"","Section must sum to 100%")</f>
        <v/>
      </c>
      <c r="H39" s="9"/>
      <c r="I39" s="9"/>
      <c r="J39" s="7"/>
    </row>
    <row r="40" spans="2:10" ht="17.100000000000001" customHeight="1" x14ac:dyDescent="0.2">
      <c r="B40" s="6"/>
      <c r="C40" s="313" t="s">
        <v>52</v>
      </c>
      <c r="D40" s="313"/>
      <c r="E40" s="313"/>
      <c r="F40" s="139"/>
      <c r="G40" s="186"/>
      <c r="H40" s="139"/>
      <c r="I40" s="182"/>
      <c r="J40" s="7"/>
    </row>
    <row r="41" spans="2:10" ht="4.1500000000000004" customHeight="1" x14ac:dyDescent="0.2">
      <c r="B41" s="6"/>
      <c r="C41" s="9"/>
      <c r="D41" s="9"/>
      <c r="E41" s="10"/>
      <c r="F41" s="10"/>
      <c r="G41" s="187"/>
      <c r="H41" s="10"/>
      <c r="I41" s="9"/>
      <c r="J41" s="7"/>
    </row>
    <row r="42" spans="2:10" ht="17.100000000000001" customHeight="1" x14ac:dyDescent="0.2">
      <c r="B42" s="6"/>
      <c r="C42" s="295" t="s">
        <v>32</v>
      </c>
      <c r="D42" s="296"/>
      <c r="E42" s="215" t="s">
        <v>59</v>
      </c>
      <c r="F42" s="128"/>
      <c r="G42" s="133">
        <v>-6.2399999999999997E-2</v>
      </c>
      <c r="I42" s="136" t="str">
        <f>IF(OR(D$17="",D$18="",D$19="",D$20="",G42=""),"",
IF(G42&lt;=-0.05,High,
IF(AND(G42&gt;-0.05,G42&lt;0),Medium,
IF(G42&gt;=0,Low,""))))</f>
        <v>High risk</v>
      </c>
      <c r="J42" s="7"/>
    </row>
    <row r="43" spans="2:10" ht="17.100000000000001" customHeight="1" x14ac:dyDescent="0.2">
      <c r="B43" s="6"/>
      <c r="C43" s="295" t="s">
        <v>57</v>
      </c>
      <c r="D43" s="296"/>
      <c r="E43" s="215" t="s">
        <v>59</v>
      </c>
      <c r="F43" s="128"/>
      <c r="G43" s="133">
        <v>2.9999999999999997E-4</v>
      </c>
      <c r="I43" s="136" t="str">
        <f>IF(OR(D$17="",D$18="",D$19="",D$20="",G43=""),"",
IF(G43&lt;=-0.05,High,
IF(AND(G43&gt;-0.05,G43&lt;0),Medium,
IF(G43&gt;=0,Low,""))))</f>
        <v>Low risk</v>
      </c>
      <c r="J43" s="7"/>
    </row>
    <row r="44" spans="2:10" ht="15" x14ac:dyDescent="0.2">
      <c r="B44" s="6"/>
      <c r="C44" s="9"/>
      <c r="D44" s="9"/>
      <c r="E44" s="9"/>
      <c r="F44" s="9"/>
      <c r="G44" s="187"/>
      <c r="H44" s="9"/>
      <c r="I44" s="9"/>
      <c r="J44" s="7"/>
    </row>
    <row r="45" spans="2:10" ht="17.100000000000001" customHeight="1" x14ac:dyDescent="0.2">
      <c r="B45" s="6"/>
      <c r="C45" s="313" t="s">
        <v>53</v>
      </c>
      <c r="D45" s="313"/>
      <c r="E45" s="313"/>
      <c r="F45" s="139"/>
      <c r="G45" s="186"/>
      <c r="H45" s="139"/>
      <c r="I45" s="182"/>
      <c r="J45" s="7"/>
    </row>
    <row r="46" spans="2:10" ht="3.75" customHeight="1" x14ac:dyDescent="0.2">
      <c r="B46" s="6"/>
      <c r="C46" s="9"/>
      <c r="D46" s="9"/>
      <c r="E46" s="10"/>
      <c r="F46" s="10"/>
      <c r="G46" s="187"/>
      <c r="H46" s="10"/>
      <c r="I46" s="9"/>
      <c r="J46" s="7"/>
    </row>
    <row r="47" spans="2:10" ht="17.100000000000001" customHeight="1" x14ac:dyDescent="0.2">
      <c r="B47" s="6"/>
      <c r="C47" s="295" t="s">
        <v>33</v>
      </c>
      <c r="D47" s="296"/>
      <c r="E47" s="215" t="s">
        <v>59</v>
      </c>
      <c r="F47" s="36"/>
      <c r="G47" s="134">
        <v>60404.25</v>
      </c>
      <c r="I47" s="136" t="str">
        <f ca="1">IF(OR(D$17="",D$18="",D$19="",D$20="",D$21="",G47=""),"",
IF(G47&lt;=Calcs!C21,Lowest10,
IF(AND(G47&gt;Calcs!C21,G47&lt;=Calcs!D21),Lowest20,
IF(AND(G47&gt;Calcs!D21,G47&lt;=Calcs!E21),Inline,
IF(AND(G47&gt;Calcs!E21,G47&lt;=Calcs!G21),Middle20,
IF(AND(G47&gt;Calcs!G21,G47&lt;=Calcs!H21),Inline,
IF(AND(G47&gt;Calcs!H21,G47&lt;=Calcs!I21),Highest20,
IF(G47&gt;Calcs!I21,Highest10,""))))))))</f>
        <v>Highest 20% of similar schools</v>
      </c>
      <c r="J47" s="7"/>
    </row>
    <row r="48" spans="2:10" ht="17.100000000000001" customHeight="1" x14ac:dyDescent="0.2">
      <c r="B48" s="6"/>
      <c r="C48" s="295" t="s">
        <v>34</v>
      </c>
      <c r="D48" s="296"/>
      <c r="E48" s="215" t="s">
        <v>59</v>
      </c>
      <c r="F48" s="36"/>
      <c r="G48" s="133">
        <v>4.1000000000000003E-3</v>
      </c>
      <c r="I48" s="136" t="str">
        <f ca="1">IF(OR(D$17="",D$18="",D$19="",D$20="",G48=""),"",
IF(G48&lt;=Calcs!E17,Inline,
IF(AND(G48&gt;Calcs!E17,G48&lt;=Calcs!G17),Middle20,
IF(AND(G48&gt;Calcs!G17,G48&lt;=Calcs!H17),Inline,
IF(AND(G48&gt;Calcs!H17,G48&lt;=Calcs!I17),Highest20,
IF(G48&gt;Calcs!I17,Highest10,""))))))</f>
        <v>Broadly in line with similar schools</v>
      </c>
      <c r="J48" s="7"/>
    </row>
    <row r="49" spans="2:10" ht="17.100000000000001" customHeight="1" x14ac:dyDescent="0.2">
      <c r="B49" s="6"/>
      <c r="C49" s="295" t="s">
        <v>4</v>
      </c>
      <c r="D49" s="296"/>
      <c r="E49" s="215" t="s">
        <v>59</v>
      </c>
      <c r="F49" s="36"/>
      <c r="G49" s="133">
        <v>0.161</v>
      </c>
      <c r="I49" s="136" t="str">
        <f ca="1">IF(OR(D$17="",D$18="",D$19="",D$20="",G49=""),"",
IF(G49&lt;=Calcs!C18,Lowest10,
IF(AND(G49&gt;Calcs!C18,G49&lt;=Calcs!D18),Lowest20,
IF(AND(G49&gt;Calcs!D18,G49&lt;=Calcs!E18),Inline,
IF(AND(G49&gt;Calcs!E18,G49&lt;=Calcs!G18),Middle20,
IF(AND(G49&gt;Calcs!G18,G49&lt;=Calcs!H18),Inline,
IF(AND(G49&gt;Calcs!H18,G49&lt;=Calcs!I18),Highest20,
IF(G49&gt;Calcs!I18,Highest10,""))))))))</f>
        <v>Lowest 10% of similar schools</v>
      </c>
      <c r="J49" s="7"/>
    </row>
    <row r="50" spans="2:10" ht="17.100000000000001" customHeight="1" x14ac:dyDescent="0.2">
      <c r="B50" s="6"/>
      <c r="C50" s="295" t="s">
        <v>14</v>
      </c>
      <c r="D50" s="296"/>
      <c r="E50" s="215" t="s">
        <v>59</v>
      </c>
      <c r="F50" s="36"/>
      <c r="G50" s="135">
        <v>7.1</v>
      </c>
      <c r="I50" s="136" t="str">
        <f ca="1">IF(OR(D$17="",D$18="",D$19="",D$20="",G50=""),"",
IF(G50&lt;=Calcs!C19,Lowest10,
IF(AND(G50&gt;Calcs!C19,G50&lt;=Calcs!D19),Lowest20,
IF(AND(G50&gt;Calcs!D19,G50&lt;=Calcs!E19),Inline,
IF(AND(G50&gt;Calcs!E19,G50&lt;=Calcs!G19),Middle20,
IF(AND(G50&gt;Calcs!G19,G50&lt;=Calcs!H19),Inline,
IF(AND(G50&gt;Calcs!H19,G50&lt;=Calcs!I19),Highest20,
IF(G50&gt;Calcs!I19,Highest10,""))))))))</f>
        <v>Lowest 10% of similar schools</v>
      </c>
      <c r="J50" s="7"/>
    </row>
    <row r="51" spans="2:10" ht="17.100000000000001" customHeight="1" x14ac:dyDescent="0.2">
      <c r="B51" s="6"/>
      <c r="C51" s="295" t="s">
        <v>35</v>
      </c>
      <c r="D51" s="296"/>
      <c r="E51" s="183" t="s">
        <v>59</v>
      </c>
      <c r="F51" s="36"/>
      <c r="G51" s="232">
        <v>0.95</v>
      </c>
      <c r="I51" s="136" t="str">
        <f>IF(OR(D$17="",D$18="",D$19="",D$20="",G51=""),"",
IF(G51&lt;=0.7,Muchlower,
IF(AND(G51&gt;0.7,G51&lt;=0.74),Lower,
IF(AND(G51&gt;0.74,G51&lt;=0.8),Inline2,
IF(AND(G51&gt;0.8,G51&lt;=0.82),Higher,
IF(G51&gt;0.82,Muchhigher,""))))))</f>
        <v>Much higher than recommended</v>
      </c>
      <c r="J51" s="7"/>
    </row>
    <row r="52" spans="2:10" ht="17.100000000000001" customHeight="1" x14ac:dyDescent="0.2">
      <c r="B52" s="6"/>
      <c r="C52" s="295" t="s">
        <v>36</v>
      </c>
      <c r="D52" s="296"/>
      <c r="E52" s="215" t="s">
        <v>59</v>
      </c>
      <c r="F52" s="36"/>
      <c r="G52" s="133">
        <v>0.14000000000000001</v>
      </c>
      <c r="I52" s="136" t="str">
        <f>IF(OR(D$17="",D$18="",D$19="",D$20="",G52=""),"",
IF(G52&lt;=-0.1,High,
IF(AND(G52&gt;-0.1,G52&lt;=-0.02),Medium,
IF(G52&gt;=-0.02,Low,""))))</f>
        <v>Low risk</v>
      </c>
      <c r="J52" s="7"/>
    </row>
    <row r="53" spans="2:10" ht="17.100000000000001" customHeight="1" x14ac:dyDescent="0.2">
      <c r="B53" s="6"/>
      <c r="C53" s="295" t="s">
        <v>0</v>
      </c>
      <c r="D53" s="296"/>
      <c r="E53" s="183" t="s">
        <v>59</v>
      </c>
      <c r="F53" s="36"/>
      <c r="G53" s="135">
        <v>16.850000000000001</v>
      </c>
      <c r="I53" s="136" t="str">
        <f ca="1">IF(OR(D$17="",D$18="",D$19="",D$20="",G53=""),"",
IF(G53&lt;=Calcs!C20,Lowest10,
IF(AND(G53&gt;Calcs!C20,G53&lt;=Calcs!D20),Lowest20,
IF(AND(G53&gt;Calcs!D20,G53&lt;=Calcs!E20),Inline,
IF(AND(G53&gt;Calcs!E20,G53&lt;=Calcs!G20),Middle20,
IF(AND(G53&gt;Calcs!G20,G53&lt;=Calcs!H20),Inline,
IF(AND(G53&gt;Calcs!H20,G53&lt;=Calcs!I20),Highest20,
IF(G53&gt;Calcs!I20,Highest10,""))))))))</f>
        <v>Lowest 10% of similar schools</v>
      </c>
      <c r="J53" s="7"/>
    </row>
    <row r="54" spans="2:10" ht="15" x14ac:dyDescent="0.2">
      <c r="B54" s="6"/>
      <c r="C54" s="9"/>
      <c r="D54" s="9"/>
      <c r="E54" s="9"/>
      <c r="F54" s="9"/>
      <c r="G54" s="187"/>
      <c r="H54" s="9"/>
      <c r="I54" s="9"/>
      <c r="J54" s="7"/>
    </row>
    <row r="55" spans="2:10" ht="17.100000000000001" customHeight="1" x14ac:dyDescent="0.2">
      <c r="B55" s="6"/>
      <c r="C55" s="313" t="s">
        <v>54</v>
      </c>
      <c r="D55" s="313"/>
      <c r="E55" s="313"/>
      <c r="F55" s="139"/>
      <c r="G55" s="186"/>
      <c r="H55" s="139"/>
      <c r="I55" s="182"/>
      <c r="J55" s="7"/>
    </row>
    <row r="56" spans="2:10" ht="4.3499999999999996" customHeight="1" x14ac:dyDescent="0.2">
      <c r="B56" s="6"/>
      <c r="C56" s="9"/>
      <c r="D56" s="9"/>
      <c r="E56" s="10"/>
      <c r="F56" s="10"/>
      <c r="G56" s="187"/>
      <c r="H56" s="10"/>
      <c r="I56" s="9"/>
      <c r="J56" s="7"/>
    </row>
    <row r="57" spans="2:10" ht="17.100000000000001" customHeight="1" x14ac:dyDescent="0.2">
      <c r="B57" s="6"/>
      <c r="C57" s="295" t="s">
        <v>7</v>
      </c>
      <c r="D57" s="296"/>
      <c r="E57" s="215" t="s">
        <v>59</v>
      </c>
      <c r="F57" s="36"/>
      <c r="G57" s="140" t="s">
        <v>126</v>
      </c>
      <c r="I57" s="136" t="str">
        <f ca="1">IF(OR(D$17="",D$18="",D$19="",D$20="",G57=""),"",INDIRECT(G57))</f>
        <v>Good</v>
      </c>
      <c r="J57" s="7"/>
    </row>
    <row r="58" spans="2:10" ht="17.100000000000001" customHeight="1" x14ac:dyDescent="0.2">
      <c r="B58" s="6"/>
      <c r="C58" s="295" t="s">
        <v>8</v>
      </c>
      <c r="D58" s="296"/>
      <c r="E58" s="183" t="s">
        <v>59</v>
      </c>
      <c r="F58" s="36"/>
      <c r="G58" s="135"/>
      <c r="I58" s="136" t="str">
        <f>IF(OR(D$17="",D$18="",D$19="",D$20="",G58=""),"",
IF(G58&gt;=0.5,Wellabove,
IF(AND(G58&gt;=0,G58&lt;0.5),Average,
IF(AND(G58&gt;=-0.5,G58&lt;0),Below,
IF(G58&lt;-0.5,Wellbelow,"")))))</f>
        <v/>
      </c>
      <c r="J58" s="7"/>
    </row>
    <row r="59" spans="2:10" ht="17.100000000000001" customHeight="1" x14ac:dyDescent="0.2">
      <c r="B59" s="6"/>
      <c r="C59" s="295" t="s">
        <v>9</v>
      </c>
      <c r="D59" s="296"/>
      <c r="E59" s="183" t="s">
        <v>59</v>
      </c>
      <c r="F59" s="36"/>
      <c r="G59" s="135"/>
      <c r="I59" s="136" t="str">
        <f>IF(OR(D$17="",D$18="",D$19="",D$20="",G59=""),"",
IF(G59&gt;=3.2,Wellabove,
IF(AND(G59&gt;=0,G59&lt;3.2),Average,
IF(AND(G59&gt;=-2.7,G59&lt;0),Below,
IF(G59&lt;-2.7,Wellbelow,"")))))</f>
        <v/>
      </c>
      <c r="J59" s="7"/>
    </row>
    <row r="60" spans="2:10" ht="17.100000000000001" customHeight="1" x14ac:dyDescent="0.2">
      <c r="B60" s="6"/>
      <c r="C60" s="295" t="s">
        <v>10</v>
      </c>
      <c r="D60" s="296"/>
      <c r="E60" s="183" t="s">
        <v>59</v>
      </c>
      <c r="F60" s="36"/>
      <c r="G60" s="135"/>
      <c r="I60" s="136" t="str">
        <f>IF(OR(D$17="",D$18="",D$19="",D$20="",G60=""),"",
IF(G60&gt;=2.7,Wellabove,
IF(AND(G60&gt;=0,G60&lt;2.7),Average,
IF(AND(G60&gt;=-2.6,G60&lt;0),Below,
IF(G60&lt;-2.6,Wellbelow,"")))))</f>
        <v/>
      </c>
      <c r="J60" s="7"/>
    </row>
    <row r="61" spans="2:10" ht="17.100000000000001" customHeight="1" x14ac:dyDescent="0.2">
      <c r="B61" s="6"/>
      <c r="C61" s="295" t="s">
        <v>11</v>
      </c>
      <c r="D61" s="296"/>
      <c r="E61" s="183" t="s">
        <v>59</v>
      </c>
      <c r="F61" s="36"/>
      <c r="G61" s="135"/>
      <c r="I61" s="136" t="str">
        <f>IF(OR(D$17="",D$18="",D$19="",D$20="",G61=""),"",
IF(G61&gt;=3.2,Wellabove,
IF(AND(G61&gt;=0,G61&lt;3.2),Average,
IF(AND(G61&gt;=-3.1,G61&lt;0),Below,
IF(G61&lt;-3.1,Wellbelow,"")))))</f>
        <v/>
      </c>
      <c r="J61" s="7"/>
    </row>
    <row r="62" spans="2:10" ht="17.100000000000001" customHeight="1" x14ac:dyDescent="0.2">
      <c r="B62" s="6"/>
      <c r="C62" s="36"/>
      <c r="D62" s="36"/>
      <c r="E62" s="37"/>
      <c r="F62" s="36"/>
      <c r="G62" s="36"/>
      <c r="H62" s="36"/>
      <c r="I62" s="36"/>
      <c r="J62" s="7"/>
    </row>
    <row r="63" spans="2:10" ht="17.100000000000001" customHeight="1" x14ac:dyDescent="0.2">
      <c r="B63" s="6"/>
      <c r="C63" s="313" t="s">
        <v>60</v>
      </c>
      <c r="D63" s="313"/>
      <c r="E63" s="313"/>
      <c r="F63" s="139"/>
      <c r="G63" s="139"/>
      <c r="H63" s="139"/>
      <c r="I63" s="139"/>
      <c r="J63" s="7"/>
    </row>
    <row r="64" spans="2:10" ht="4.3499999999999996" customHeight="1" x14ac:dyDescent="0.2">
      <c r="B64" s="6"/>
      <c r="C64" s="38"/>
      <c r="D64" s="38"/>
      <c r="E64" s="37"/>
      <c r="F64" s="36"/>
      <c r="G64" s="36"/>
      <c r="H64" s="36"/>
      <c r="I64" s="36"/>
      <c r="J64" s="7"/>
    </row>
    <row r="65" spans="2:10" ht="17.100000000000001" customHeight="1" x14ac:dyDescent="0.2">
      <c r="B65" s="6"/>
      <c r="C65" s="297" t="s">
        <v>396</v>
      </c>
      <c r="D65" s="298"/>
      <c r="E65" s="298"/>
      <c r="F65" s="298"/>
      <c r="G65" s="298"/>
      <c r="H65" s="298"/>
      <c r="I65" s="299"/>
      <c r="J65" s="7"/>
    </row>
    <row r="66" spans="2:10" ht="17.100000000000001" customHeight="1" x14ac:dyDescent="0.2">
      <c r="B66" s="6"/>
      <c r="C66" s="300"/>
      <c r="D66" s="301"/>
      <c r="E66" s="301"/>
      <c r="F66" s="301"/>
      <c r="G66" s="301"/>
      <c r="H66" s="301"/>
      <c r="I66" s="302"/>
      <c r="J66" s="7"/>
    </row>
    <row r="67" spans="2:10" ht="17.100000000000001" customHeight="1" x14ac:dyDescent="0.2">
      <c r="B67" s="6"/>
      <c r="C67" s="300"/>
      <c r="D67" s="301"/>
      <c r="E67" s="301"/>
      <c r="F67" s="301"/>
      <c r="G67" s="301"/>
      <c r="H67" s="301"/>
      <c r="I67" s="302"/>
      <c r="J67" s="7"/>
    </row>
    <row r="68" spans="2:10" ht="17.100000000000001" customHeight="1" x14ac:dyDescent="0.2">
      <c r="B68" s="6"/>
      <c r="C68" s="300"/>
      <c r="D68" s="301"/>
      <c r="E68" s="301"/>
      <c r="F68" s="301"/>
      <c r="G68" s="301"/>
      <c r="H68" s="301"/>
      <c r="I68" s="302"/>
      <c r="J68" s="7"/>
    </row>
    <row r="69" spans="2:10" ht="17.100000000000001" customHeight="1" x14ac:dyDescent="0.2">
      <c r="B69" s="6"/>
      <c r="C69" s="300"/>
      <c r="D69" s="301"/>
      <c r="E69" s="301"/>
      <c r="F69" s="301"/>
      <c r="G69" s="301"/>
      <c r="H69" s="301"/>
      <c r="I69" s="302"/>
      <c r="J69" s="7"/>
    </row>
    <row r="70" spans="2:10" ht="17.100000000000001" customHeight="1" x14ac:dyDescent="0.2">
      <c r="B70" s="6"/>
      <c r="C70" s="300"/>
      <c r="D70" s="301"/>
      <c r="E70" s="301"/>
      <c r="F70" s="301"/>
      <c r="G70" s="301"/>
      <c r="H70" s="301"/>
      <c r="I70" s="302"/>
      <c r="J70" s="7"/>
    </row>
    <row r="71" spans="2:10" ht="17.100000000000001" customHeight="1" x14ac:dyDescent="0.2">
      <c r="B71" s="6"/>
      <c r="C71" s="303"/>
      <c r="D71" s="304"/>
      <c r="E71" s="304"/>
      <c r="F71" s="304"/>
      <c r="G71" s="304"/>
      <c r="H71" s="304"/>
      <c r="I71" s="305"/>
      <c r="J71" s="7"/>
    </row>
    <row r="72" spans="2:10" ht="15" thickBot="1" x14ac:dyDescent="0.25">
      <c r="B72" s="11"/>
      <c r="C72" s="12"/>
      <c r="D72" s="12"/>
      <c r="E72" s="12"/>
      <c r="F72" s="12"/>
      <c r="G72" s="12"/>
      <c r="H72" s="12"/>
      <c r="I72" s="12"/>
      <c r="J72" s="13"/>
    </row>
    <row r="73" spans="2:10" ht="14.25" x14ac:dyDescent="0.2"/>
    <row r="74" spans="2:10" ht="14.25" x14ac:dyDescent="0.2"/>
    <row r="75" spans="2:10" ht="14.25" hidden="1" x14ac:dyDescent="0.2"/>
    <row r="76" spans="2:10" ht="14.25" hidden="1" x14ac:dyDescent="0.2"/>
    <row r="77" spans="2:10" ht="14.25" hidden="1" x14ac:dyDescent="0.2"/>
    <row r="78" spans="2:10" ht="14.25" hidden="1" x14ac:dyDescent="0.2"/>
    <row r="79" spans="2:10" ht="14.25" hidden="1" x14ac:dyDescent="0.2"/>
    <row r="80" spans="2:10" ht="14.25" hidden="1" x14ac:dyDescent="0.2"/>
  </sheetData>
  <sheetProtection sheet="1" formatColumns="0" formatRows="0" insertColumns="0" insertRows="0"/>
  <protectedRanges>
    <protectedRange sqref="G30:G38 G57:G61 G42:G43 G47:G53" name="School data"/>
    <protectedRange sqref="D15:D20" name="School information"/>
  </protectedRanges>
  <dataConsolidate/>
  <mergeCells count="43">
    <mergeCell ref="C3:I3"/>
    <mergeCell ref="C7:I7"/>
    <mergeCell ref="C8:I8"/>
    <mergeCell ref="C9:I9"/>
    <mergeCell ref="C11:I11"/>
    <mergeCell ref="C63:E63"/>
    <mergeCell ref="G26:G27"/>
    <mergeCell ref="I26:I27"/>
    <mergeCell ref="C5:I5"/>
    <mergeCell ref="C13:E13"/>
    <mergeCell ref="C23:E23"/>
    <mergeCell ref="C37:D37"/>
    <mergeCell ref="C38:D38"/>
    <mergeCell ref="C28:E28"/>
    <mergeCell ref="C40:E40"/>
    <mergeCell ref="C45:E45"/>
    <mergeCell ref="C32:D32"/>
    <mergeCell ref="C33:D33"/>
    <mergeCell ref="C34:D34"/>
    <mergeCell ref="C35:D35"/>
    <mergeCell ref="C61:D61"/>
    <mergeCell ref="C65:I71"/>
    <mergeCell ref="F15:I15"/>
    <mergeCell ref="F17:I19"/>
    <mergeCell ref="C24:D24"/>
    <mergeCell ref="C25:D25"/>
    <mergeCell ref="C42:D42"/>
    <mergeCell ref="C43:D43"/>
    <mergeCell ref="C47:D47"/>
    <mergeCell ref="C48:D48"/>
    <mergeCell ref="C49:D49"/>
    <mergeCell ref="C50:D50"/>
    <mergeCell ref="C51:D51"/>
    <mergeCell ref="C52:D52"/>
    <mergeCell ref="C53:D53"/>
    <mergeCell ref="C30:D30"/>
    <mergeCell ref="C55:E55"/>
    <mergeCell ref="C31:D31"/>
    <mergeCell ref="C57:D57"/>
    <mergeCell ref="C58:D58"/>
    <mergeCell ref="C59:D59"/>
    <mergeCell ref="C60:D60"/>
    <mergeCell ref="C36:D36"/>
  </mergeCells>
  <conditionalFormatting sqref="I30:I37 I47:I50 I53">
    <cfRule type="containsText" dxfId="60" priority="3011" operator="containsText" text="Middle 20%">
      <formula>NOT(ISERROR(SEARCH("Middle 20%",I30)))</formula>
    </cfRule>
    <cfRule type="containsText" dxfId="59" priority="3012" operator="containsText" text="Broadly">
      <formula>NOT(ISERROR(SEARCH("Broadly",I30)))</formula>
    </cfRule>
    <cfRule type="containsText" dxfId="58" priority="3013" operator="containsText" text="20%">
      <formula>NOT(ISERROR(SEARCH("20%",I30)))</formula>
    </cfRule>
    <cfRule type="containsText" dxfId="57" priority="3014" operator="containsText" text="10%">
      <formula>NOT(ISERROR(SEARCH("10%",I30)))</formula>
    </cfRule>
  </conditionalFormatting>
  <conditionalFormatting sqref="E58">
    <cfRule type="expression" dxfId="56" priority="2986">
      <formula>OR(#REF!="Primary",#REF!="Nursery")</formula>
    </cfRule>
  </conditionalFormatting>
  <conditionalFormatting sqref="E58">
    <cfRule type="expression" dxfId="55" priority="2982">
      <formula>#REF!="Nursery"</formula>
    </cfRule>
  </conditionalFormatting>
  <conditionalFormatting sqref="I42:I43">
    <cfRule type="containsText" dxfId="54" priority="2436" operator="containsText" text="Low">
      <formula>NOT(ISERROR(SEARCH("Low",I42)))</formula>
    </cfRule>
    <cfRule type="containsText" dxfId="53" priority="2437" operator="containsText" text="Medium">
      <formula>NOT(ISERROR(SEARCH("Medium",I42)))</formula>
    </cfRule>
    <cfRule type="containsText" dxfId="52" priority="2438" operator="containsText" text="High">
      <formula>NOT(ISERROR(SEARCH("High",I42)))</formula>
    </cfRule>
  </conditionalFormatting>
  <conditionalFormatting sqref="I57">
    <cfRule type="containsText" dxfId="51" priority="2423" operator="containsText" text="Outstanding">
      <formula>NOT(ISERROR(SEARCH("Outstanding",I57)))</formula>
    </cfRule>
    <cfRule type="containsText" dxfId="50" priority="2424" operator="containsText" text="Good">
      <formula>NOT(ISERROR(SEARCH("Good",I57)))</formula>
    </cfRule>
    <cfRule type="containsText" dxfId="49" priority="2425" operator="containsText" text="Requires Improvement">
      <formula>NOT(ISERROR(SEARCH("Requires Improvement",I57)))</formula>
    </cfRule>
    <cfRule type="containsText" dxfId="48" priority="2426" operator="containsText" text="Inadequate">
      <formula>NOT(ISERROR(SEARCH("Inadequate",I57)))</formula>
    </cfRule>
  </conditionalFormatting>
  <conditionalFormatting sqref="I52">
    <cfRule type="containsText" dxfId="47" priority="1538" operator="containsText" text="Low">
      <formula>NOT(ISERROR(SEARCH("Low",I52)))</formula>
    </cfRule>
    <cfRule type="containsText" dxfId="46" priority="1539" operator="containsText" text="Medium">
      <formula>NOT(ISERROR(SEARCH("Medium",I52)))</formula>
    </cfRule>
    <cfRule type="containsText" dxfId="45" priority="1540" operator="containsText" text="High">
      <formula>NOT(ISERROR(SEARCH("High",I52)))</formula>
    </cfRule>
  </conditionalFormatting>
  <conditionalFormatting sqref="I51">
    <cfRule type="expression" dxfId="44" priority="3015">
      <formula>OR(D17="Nursery",D17="Alternative provision",D17="Special")</formula>
    </cfRule>
    <cfRule type="containsText" dxfId="43" priority="3016" operator="containsText" text="Broadly">
      <formula>NOT(ISERROR(SEARCH("Broadly",I51)))</formula>
    </cfRule>
    <cfRule type="containsText" dxfId="42" priority="3017" operator="containsText" text="Much">
      <formula>NOT(ISERROR(SEARCH("Much",I51)))</formula>
    </cfRule>
    <cfRule type="containsText" dxfId="41" priority="3018" operator="containsText" text="Than">
      <formula>NOT(ISERROR(SEARCH("Than",I51)))</formula>
    </cfRule>
  </conditionalFormatting>
  <conditionalFormatting sqref="I58">
    <cfRule type="expression" dxfId="40" priority="3019">
      <formula>D17="Nursery"</formula>
    </cfRule>
    <cfRule type="expression" dxfId="39" priority="3020">
      <formula>D17="Primary"</formula>
    </cfRule>
    <cfRule type="containsText" dxfId="38" priority="3021" operator="containsText" text="Well above">
      <formula>NOT(ISERROR(SEARCH("Well above",I58)))</formula>
    </cfRule>
    <cfRule type="containsText" dxfId="37" priority="3022" operator="containsText" text="Above">
      <formula>NOT(ISERROR(SEARCH("Above",I58)))</formula>
    </cfRule>
    <cfRule type="containsText" dxfId="36" priority="3023" operator="containsText" text="Well below">
      <formula>NOT(ISERROR(SEARCH("Well below",I58)))</formula>
    </cfRule>
    <cfRule type="containsText" dxfId="35" priority="3024" operator="containsText" text="Below">
      <formula>NOT(ISERROR(SEARCH("Below",I58)))</formula>
    </cfRule>
  </conditionalFormatting>
  <conditionalFormatting sqref="I59">
    <cfRule type="expression" dxfId="34" priority="3025">
      <formula>D17="Nursery"</formula>
    </cfRule>
    <cfRule type="expression" dxfId="33" priority="3026">
      <formula>OR(D17="Secondary with sixth form",D17="Secondary without sixth form")</formula>
    </cfRule>
    <cfRule type="containsText" dxfId="32" priority="3027" operator="containsText" text="Well above">
      <formula>NOT(ISERROR(SEARCH("Well above",I59)))</formula>
    </cfRule>
    <cfRule type="containsText" dxfId="31" priority="3028" operator="containsText" text="Above">
      <formula>NOT(ISERROR(SEARCH("Above",I59)))</formula>
    </cfRule>
    <cfRule type="containsText" dxfId="30" priority="3029" operator="containsText" text="Well below">
      <formula>NOT(ISERROR(SEARCH("Well below",I59)))</formula>
    </cfRule>
    <cfRule type="containsText" dxfId="29" priority="3030" operator="containsText" text="Below">
      <formula>NOT(ISERROR(SEARCH("Below",I59)))</formula>
    </cfRule>
  </conditionalFormatting>
  <conditionalFormatting sqref="I60">
    <cfRule type="expression" dxfId="28" priority="3031">
      <formula>OR(D17="Secondary with sixth form",D17="Secondary without sixth form",D17="Nursery")</formula>
    </cfRule>
    <cfRule type="containsText" dxfId="27" priority="3032" operator="containsText" text="Well above">
      <formula>NOT(ISERROR(SEARCH("Well above",I60)))</formula>
    </cfRule>
    <cfRule type="containsText" dxfId="26" priority="3033" operator="containsText" text="Above">
      <formula>NOT(ISERROR(SEARCH("Above",I60)))</formula>
    </cfRule>
    <cfRule type="containsText" dxfId="25" priority="3034" operator="containsText" text="Well below">
      <formula>NOT(ISERROR(SEARCH("Well below",I60)))</formula>
    </cfRule>
    <cfRule type="containsText" dxfId="24" priority="3035" operator="containsText" text="Below">
      <formula>NOT(ISERROR(SEARCH("Below",I60)))</formula>
    </cfRule>
  </conditionalFormatting>
  <conditionalFormatting sqref="G53">
    <cfRule type="expression" dxfId="23" priority="3037">
      <formula>OR(D17="Nursery",D17="Alternative provision",D17="Special")</formula>
    </cfRule>
  </conditionalFormatting>
  <conditionalFormatting sqref="G60">
    <cfRule type="expression" dxfId="22" priority="3038">
      <formula>OR(D17="Secondary with sixth form",D17="Secondary without sixth form",D17="Nursery")</formula>
    </cfRule>
  </conditionalFormatting>
  <conditionalFormatting sqref="I61">
    <cfRule type="expression" dxfId="21" priority="3039">
      <formula>OR(D17="Secondary with sixth form",D17="Secondary without sixth form",D17="Nursery")</formula>
    </cfRule>
    <cfRule type="containsText" dxfId="20" priority="3040" operator="containsText" text="Well above">
      <formula>NOT(ISERROR(SEARCH("Well above",I61)))</formula>
    </cfRule>
    <cfRule type="containsText" dxfId="19" priority="3041" operator="containsText" text="Above">
      <formula>NOT(ISERROR(SEARCH("Above",I61)))</formula>
    </cfRule>
    <cfRule type="containsText" dxfId="18" priority="3042" operator="containsText" text="Well below">
      <formula>NOT(ISERROR(SEARCH("Well below",I61)))</formula>
    </cfRule>
    <cfRule type="containsText" dxfId="17" priority="3043" operator="containsText" text="Below">
      <formula>NOT(ISERROR(SEARCH("Below",I61)))</formula>
    </cfRule>
  </conditionalFormatting>
  <conditionalFormatting sqref="I53">
    <cfRule type="expression" dxfId="16" priority="3044">
      <formula>OR(D17="Nursery",D17="Alternative provision",D17="Special")</formula>
    </cfRule>
  </conditionalFormatting>
  <conditionalFormatting sqref="G58">
    <cfRule type="expression" dxfId="15" priority="3045">
      <formula>D17="Nursery"</formula>
    </cfRule>
    <cfRule type="expression" dxfId="14" priority="3046">
      <formula>D17="Primary"</formula>
    </cfRule>
  </conditionalFormatting>
  <conditionalFormatting sqref="G59">
    <cfRule type="expression" dxfId="13" priority="3047">
      <formula>OR(D17="Secondary with sixth form",D17="Secondary without sixth form")</formula>
    </cfRule>
    <cfRule type="expression" dxfId="12" priority="3048">
      <formula>D17="Nursery"</formula>
    </cfRule>
  </conditionalFormatting>
  <conditionalFormatting sqref="G61">
    <cfRule type="expression" dxfId="11" priority="3049">
      <formula>OR(D17="Secondary with sixth form",D17="Secondary without sixth form",D17="Nursery")</formula>
    </cfRule>
  </conditionalFormatting>
  <conditionalFormatting sqref="C53:E53">
    <cfRule type="expression" dxfId="10" priority="7">
      <formula>OR($D$17="Nursery",$D$17="Alternative provision",$D$17="Special")</formula>
    </cfRule>
  </conditionalFormatting>
  <conditionalFormatting sqref="C51:E51">
    <cfRule type="expression" dxfId="9" priority="6">
      <formula>OR($D$17="Nursery",$D$17="Alternative provision",$D$17="Special")</formula>
    </cfRule>
  </conditionalFormatting>
  <conditionalFormatting sqref="C58:E58">
    <cfRule type="expression" dxfId="8" priority="1">
      <formula>$D$17="Primary"</formula>
    </cfRule>
    <cfRule type="expression" dxfId="7" priority="5">
      <formula>$D$17="Nursery"</formula>
    </cfRule>
  </conditionalFormatting>
  <conditionalFormatting sqref="C59:E61">
    <cfRule type="expression" dxfId="6" priority="4">
      <formula>$D$17="Nursery"</formula>
    </cfRule>
  </conditionalFormatting>
  <conditionalFormatting sqref="C59:E59">
    <cfRule type="expression" dxfId="5" priority="3">
      <formula>OR($D$17="Secondary with sixth form",$D$17="Secondary without sixth form")</formula>
    </cfRule>
  </conditionalFormatting>
  <conditionalFormatting sqref="C60:E61">
    <cfRule type="expression" dxfId="4" priority="2">
      <formula>OR($D$17="Secondary with sixth form",$D$17="Secondary without sixth form")</formula>
    </cfRule>
  </conditionalFormatting>
  <dataValidations count="15">
    <dataValidation allowBlank="1" showInputMessage="1" showErrorMessage="1" prompt="Input ratio here or use raw data form to input workforce data" sqref="G50:G51" xr:uid="{00000000-0002-0000-0300-000001000000}"/>
    <dataValidation allowBlank="1" showInputMessage="1" showErrorMessage="1" prompt="Input percentage here or use raw data form to input workforce data" sqref="G48:G49" xr:uid="{00000000-0002-0000-0300-000002000000}"/>
    <dataValidation allowBlank="1" showInputMessage="1" showErrorMessage="1" prompt="Input cost here or use raw data form to input spending and workforce data" sqref="G47" xr:uid="{00000000-0002-0000-0300-000003000000}"/>
    <dataValidation allowBlank="1" showInputMessage="1" showErrorMessage="1" prompt="Input percentage here or use raw data form to input balance and income data" sqref="G42" xr:uid="{00000000-0002-0000-0300-000004000000}"/>
    <dataValidation allowBlank="1" showInputMessage="1" showErrorMessage="1" prompt="Input percentage here or use raw data form to input reserves and income data" sqref="G43" xr:uid="{00000000-0002-0000-0300-000005000000}"/>
    <dataValidation allowBlank="1" showInputMessage="1" showErrorMessage="1" prompt="Input percentage here or use raw data form to input spending data" sqref="G30:G38" xr:uid="{00000000-0002-0000-0300-000006000000}"/>
    <dataValidation type="list" allowBlank="1" showInputMessage="1" showErrorMessage="1" prompt="Select phase from list" sqref="D17" xr:uid="{00000000-0002-0000-0300-000007000000}">
      <formula1>"Primary,Secondary with sixth form,Secondary without sixth form,All-through,Special,Nursery,Alternative provision"</formula1>
    </dataValidation>
    <dataValidation allowBlank="1" showInputMessage="1" showErrorMessage="1" prompt="Input percentage of pupils eligible for FSM" sqref="D20" xr:uid="{00000000-0002-0000-0300-000008000000}"/>
    <dataValidation allowBlank="1" showInputMessage="1" showErrorMessage="1" prompt="Input number of pupils" sqref="D19" xr:uid="{00000000-0002-0000-0300-000009000000}"/>
    <dataValidation type="list" allowBlank="1" showInputMessage="1" showErrorMessage="1" prompt="Select region from list" sqref="D18" xr:uid="{00000000-0002-0000-0300-00000A000000}">
      <formula1>"East Midlands,East of England,Inner London,North East,North West,Outer London,South East,South West, West Midlands, Yorkshire and the Humber"</formula1>
    </dataValidation>
    <dataValidation type="list" allowBlank="1" showInputMessage="1" showErrorMessage="1" prompt="Select rating from list" sqref="G57" xr:uid="{00000000-0002-0000-0300-00000B000000}">
      <formula1>"Outstanding, Good, RI, Inadequate"</formula1>
    </dataValidation>
    <dataValidation allowBlank="1" showInputMessage="1" showErrorMessage="1" prompt="Input percentage" sqref="G52" xr:uid="{ABBC0CE5-7D16-4382-AEFA-439CEBA1D9D2}"/>
    <dataValidation allowBlank="1" showInputMessage="1" showErrorMessage="1" prompt="Input average class size" sqref="G53" xr:uid="{7481C535-A5A8-4B51-B19D-8B811D9C7EB7}"/>
    <dataValidation allowBlank="1" showInputMessage="1" showErrorMessage="1" prompt="Input progress score" sqref="G58:G61" xr:uid="{F7AC108A-3C3F-4E77-A904-3601CE68E76F}"/>
    <dataValidation type="list" allowBlank="1" showInputMessage="1" showErrorMessage="1" prompt="Select year from list" sqref="D21" xr:uid="{31BC0C10-B196-4C4A-8A83-A944268FAFB4}">
      <formula1>Year</formula1>
    </dataValidation>
  </dataValidations>
  <hyperlinks>
    <hyperlink ref="E58" r:id="rId1" location="section-e-progress-8-score" xr:uid="{00000000-0004-0000-0300-000013000000}"/>
    <hyperlink ref="E59" r:id="rId2" location="section-e-progress-scores-in-reading-writing-and-maths" xr:uid="{00000000-0004-0000-0300-000014000000}"/>
    <hyperlink ref="E60" r:id="rId3" location="section-e-progress-scores-in-reading-writing-and-maths" xr:uid="{00000000-0004-0000-0300-000015000000}"/>
    <hyperlink ref="E61" r:id="rId4" location="section-e-progress-scores-in-reading-writing-and-maths" xr:uid="{00000000-0004-0000-0300-000016000000}"/>
    <hyperlink ref="F17:H18" location="'Optional - input raw data'!F19" display="Input the school's data directly below, or click here to input raw data for this school" xr:uid="{93C3C7BB-58E8-49A1-8DE2-6D13B8648124}"/>
    <hyperlink ref="C11:E11" r:id="rId5" location="using-the-results-from-the-dashboard" display="https://www.gov.uk/government/publications/school-resource-management-self-assessment-tool/dashboard-support-notes - using-the-results-from-the-dashboard" xr:uid="{C11FA421-EEF9-498F-A0CB-86AC41A9F819}"/>
    <hyperlink ref="C8:E8" r:id="rId6" display="Guidance on calculating or collecting the data for the school so that metrics are compared to thresholds consistently can be found here. Clicking on the link next to individual indicators below will also take you to the relevant section of the guidance." xr:uid="{920D47B3-60E1-441D-8C72-657085DFE9BD}"/>
    <hyperlink ref="F15:I15" location="'RAG rating data for your school'!A1" display="Click here to see the RAG rating data for this school" xr:uid="{C6F4B05B-BEBC-48B5-9D95-4CAE598132A6}"/>
    <hyperlink ref="E30" r:id="rId7" location="section-b-spend-on-teaching-staff-as-a-percentage-of-total-expenditure" xr:uid="{DEEA2DB4-078A-4A87-B6C5-E3F7DBE5BF33}"/>
    <hyperlink ref="E31" r:id="rId8" location="section-b-spend-on-supply-staff-as-a-percentage-of-total-expenditure" xr:uid="{4D285325-EE22-447F-8444-6643C21F43B7}"/>
    <hyperlink ref="E32" r:id="rId9" location="section-b-spend-on-education-support-staff-as-a-percentage-of-total-expenditure" xr:uid="{28C92DF1-D225-4B8F-8798-169BF202389D}"/>
    <hyperlink ref="E33" r:id="rId10" location="section-b-spend-on-administrative-and-clerical-staff-as-a-percentage-of-total-expenditure" xr:uid="{DABD66F4-994E-48CF-BC30-FA2FAD5CA193}"/>
    <hyperlink ref="E34" r:id="rId11" location="section-b-spend-on-other-staff-costs-as-a-percentage-of-total-expenditure" xr:uid="{EA59260A-58B1-4821-AD45-4ED098106586}"/>
    <hyperlink ref="E35" r:id="rId12" location="section-b-spend-on-premises-including-staff-costs-as-a-percentage-of-total-expenditure" xr:uid="{E889170A-A6F4-435F-8161-DCA798708BEE}"/>
    <hyperlink ref="E37" r:id="rId13" location="section-b-spend-on-energy-as-a-percentage-of-total-expenditure" xr:uid="{945D7718-7150-47E1-82BD-74DD4480902D}"/>
    <hyperlink ref="E38" r:id="rId14" location="section-b-other-spending-as-a-percentage-of-total-expenditure" xr:uid="{0DADBCB4-EF65-49B3-9300-860457E05BA8}"/>
    <hyperlink ref="E36" r:id="rId15" location="section-b-spend-on-teaching-resources-as-a-percentage-of-total-expenditure" xr:uid="{CDE64C29-3161-45C0-ABA1-FF843F78DCBF}"/>
    <hyperlink ref="E42" r:id="rId16" location="section-c-in-year-balance-as-a-percentage-of-total-income" xr:uid="{3899C245-0485-4119-B3C1-12859149A653}"/>
    <hyperlink ref="E43" r:id="rId17" location="section-c-revenue-reserve-as-a-percentage-of-total-income" xr:uid="{350E8439-5CA1-4FEE-AC0A-D4987BBF59C4}"/>
    <hyperlink ref="E53" r:id="rId18" location="section-d-average-class-size" xr:uid="{00000000-0004-0000-0300-000011000000}"/>
    <hyperlink ref="E51" r:id="rId19" location="section-d-teacher-contact-ratio" xr:uid="{00000000-0004-0000-0300-00000F000000}"/>
    <hyperlink ref="E47" r:id="rId20" location="section-d-average-teacher-cost" xr:uid="{5DAD0F72-7FDD-48F5-A101-9C6ED64A4BF3}"/>
    <hyperlink ref="E48" r:id="rId21" location="section-d-senior-leaders-as-a-percentage-of-workforce" xr:uid="{D87239E3-2A19-43A9-8CD2-C2B683E6B48E}"/>
    <hyperlink ref="E49" r:id="rId22" location="section-d-pupil-to-teacher-ratio" xr:uid="{184D42FB-111E-4A1F-8149-909B7EDC8252}"/>
    <hyperlink ref="E50" r:id="rId23" location="section-d-pupil-to-adult-ratio" xr:uid="{1F94BFAF-17A1-4F9E-9E11-440A655B79EB}"/>
    <hyperlink ref="E52" r:id="rId24" location="section-d-predicted-percentage-pupil-number-change-in-3-to-5-years" xr:uid="{1C07F5BA-E98C-4A46-A717-CBC74D4FFB2F}"/>
    <hyperlink ref="E57" r:id="rId25" location="section-e-ofsted-rating" xr:uid="{8E9B11AB-BA39-4A5C-ACD9-70CFDA5D0657}"/>
    <hyperlink ref="C8:I8" r:id="rId26" display="Guidance on calculating or collecting the data for the school so that metrics are compared to thresholds consistently can be found here. Clicking on the link next to individual indicators below will also take you to the relevant section of the guidance." xr:uid="{99B3B72B-E976-438D-AA22-99876F1B1D26}"/>
    <hyperlink ref="C11:I11" r:id="rId27" location="using-the-results-from-the-dashboard" display="using-the-results-from-the-dashboard" xr:uid="{0D5DE710-2C54-4CF5-9D89-19C284D3D71B}"/>
    <hyperlink ref="F17:I19" location="'Optional - input raw data'!F9" display="'Optional - input raw data'!F9" xr:uid="{7338CB83-AB53-47DB-AD6B-836A501931D9}"/>
    <hyperlink ref="C9:I9" location="'Optional - input raw data'!A1" display="Either input the school's percentages and ratios directly, or complete the Optional - input raw data form with spending information and school characteristics. The percentages and ratios in the dashboard will then auto-calculate." xr:uid="{334BD380-129D-4612-A0C6-EB26DDD1091D}"/>
  </hyperlinks>
  <pageMargins left="0.70866141732283472" right="0.70866141732283472" top="0.74803149606299213" bottom="0.74803149606299213" header="0.31496062992125984" footer="0.31496062992125984"/>
  <pageSetup paperSize="9" scale="52" orientation="portrait" cellComments="asDisplayed" r:id="rId28"/>
  <drawing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tint="-0.14999847407452621"/>
    <pageSetUpPr fitToPage="1"/>
  </sheetPr>
  <dimension ref="A1:AT59"/>
  <sheetViews>
    <sheetView showGridLines="0" zoomScale="80" zoomScaleNormal="80" workbookViewId="0">
      <selection activeCell="D34" sqref="D34"/>
    </sheetView>
  </sheetViews>
  <sheetFormatPr defaultColWidth="0" defaultRowHeight="15" zeroHeight="1" x14ac:dyDescent="0.2"/>
  <cols>
    <col min="1" max="1" width="8" style="39" customWidth="1"/>
    <col min="2" max="2" width="4.140625" style="39" customWidth="1"/>
    <col min="3" max="3" width="5.5703125" style="39" customWidth="1"/>
    <col min="4" max="4" width="69.140625" style="39" customWidth="1"/>
    <col min="5" max="5" width="7.85546875" style="39" customWidth="1"/>
    <col min="6" max="6" width="21.5703125" style="39" customWidth="1"/>
    <col min="7" max="7" width="4.140625" style="39" customWidth="1"/>
    <col min="8" max="8" width="8" style="39" customWidth="1"/>
    <col min="9" max="9" width="4.140625" style="39" hidden="1" customWidth="1"/>
    <col min="10" max="10" width="21.5703125" style="39" hidden="1" customWidth="1"/>
    <col min="11" max="11" width="4.140625" style="39" hidden="1" customWidth="1"/>
    <col min="12" max="12" width="21.5703125" style="39" hidden="1" customWidth="1"/>
    <col min="13" max="13" width="4.140625" style="39" hidden="1" customWidth="1"/>
    <col min="14" max="14" width="21.5703125" style="39" hidden="1" customWidth="1"/>
    <col min="15" max="15" width="4.140625" style="39" hidden="1" customWidth="1"/>
    <col min="16" max="16" width="21.5703125" style="39" hidden="1" customWidth="1"/>
    <col min="17" max="17" width="4.140625" style="39" hidden="1" customWidth="1"/>
    <col min="18" max="18" width="21.5703125" style="39" hidden="1" customWidth="1"/>
    <col min="19" max="19" width="4.140625" style="39" hidden="1" customWidth="1"/>
    <col min="20" max="20" width="21.5703125" style="39" hidden="1" customWidth="1"/>
    <col min="21" max="21" width="4.140625" style="39" hidden="1" customWidth="1"/>
    <col min="22" max="22" width="21.5703125" style="39" hidden="1" customWidth="1"/>
    <col min="23" max="23" width="4.140625" style="39" hidden="1" customWidth="1"/>
    <col min="24" max="24" width="21.5703125" style="39" hidden="1" customWidth="1"/>
    <col min="25" max="25" width="4.140625" style="39" hidden="1" customWidth="1"/>
    <col min="26" max="26" width="21.5703125" style="39" hidden="1" customWidth="1"/>
    <col min="27" max="27" width="4.140625" style="39" hidden="1" customWidth="1"/>
    <col min="28" max="28" width="21.5703125" style="39" hidden="1" customWidth="1"/>
    <col min="29" max="29" width="4.140625" style="39" hidden="1" customWidth="1"/>
    <col min="30" max="30" width="21.5703125" style="39" hidden="1" customWidth="1"/>
    <col min="31" max="31" width="4.140625" style="39" hidden="1" customWidth="1"/>
    <col min="32" max="32" width="21.5703125" style="39" hidden="1" customWidth="1"/>
    <col min="33" max="33" width="4.140625" style="39" hidden="1" customWidth="1"/>
    <col min="34" max="34" width="21.5703125" style="39" hidden="1" customWidth="1"/>
    <col min="35" max="35" width="4.140625" style="39" hidden="1" customWidth="1"/>
    <col min="36" max="36" width="21.5703125" style="39" hidden="1" customWidth="1"/>
    <col min="37" max="37" width="4.140625" style="39" hidden="1" customWidth="1"/>
    <col min="38" max="38" width="21.5703125" style="39" hidden="1" customWidth="1"/>
    <col min="39" max="39" width="4.140625" style="39" hidden="1" customWidth="1"/>
    <col min="40" max="40" width="21.5703125" style="39" hidden="1" customWidth="1"/>
    <col min="41" max="41" width="4.140625" style="39" hidden="1" customWidth="1"/>
    <col min="42" max="42" width="21.5703125" style="39" hidden="1" customWidth="1"/>
    <col min="43" max="43" width="4.140625" style="39" hidden="1" customWidth="1"/>
    <col min="44" max="44" width="21.5703125" style="39" hidden="1" customWidth="1"/>
    <col min="45" max="46" width="0" style="39" hidden="1" customWidth="1"/>
    <col min="47" max="16384" width="9" style="39" hidden="1"/>
  </cols>
  <sheetData>
    <row r="1" spans="2:7" ht="15.75" thickBot="1" x14ac:dyDescent="0.25"/>
    <row r="2" spans="2:7" x14ac:dyDescent="0.2">
      <c r="B2" s="43"/>
      <c r="C2" s="44"/>
      <c r="D2" s="44"/>
      <c r="E2" s="44"/>
      <c r="F2" s="44"/>
      <c r="G2" s="45"/>
    </row>
    <row r="3" spans="2:7" ht="24.95" customHeight="1" x14ac:dyDescent="0.2">
      <c r="B3" s="46"/>
      <c r="C3" s="332" t="s">
        <v>102</v>
      </c>
      <c r="D3" s="332"/>
      <c r="E3" s="129"/>
      <c r="F3" s="129"/>
      <c r="G3" s="47"/>
    </row>
    <row r="4" spans="2:7" s="153" customFormat="1" x14ac:dyDescent="0.2">
      <c r="B4" s="149"/>
      <c r="C4" s="150"/>
      <c r="D4" s="150"/>
      <c r="E4" s="150"/>
      <c r="F4" s="151">
        <v>1</v>
      </c>
      <c r="G4" s="152"/>
    </row>
    <row r="5" spans="2:7" ht="57.95" customHeight="1" x14ac:dyDescent="0.2">
      <c r="B5" s="46"/>
      <c r="C5" s="333" t="s">
        <v>335</v>
      </c>
      <c r="D5" s="333"/>
      <c r="E5" s="333"/>
      <c r="F5" s="333"/>
      <c r="G5" s="47"/>
    </row>
    <row r="6" spans="2:7" ht="71.849999999999994" customHeight="1" x14ac:dyDescent="0.2">
      <c r="B6" s="46"/>
      <c r="C6" s="334" t="s">
        <v>303</v>
      </c>
      <c r="D6" s="334"/>
      <c r="E6" s="334"/>
      <c r="F6" s="334"/>
      <c r="G6" s="47"/>
    </row>
    <row r="7" spans="2:7" ht="15" customHeight="1" x14ac:dyDescent="0.2">
      <c r="B7" s="46"/>
      <c r="C7" s="48"/>
      <c r="D7" s="48"/>
      <c r="E7" s="48"/>
      <c r="F7" s="192"/>
      <c r="G7" s="47"/>
    </row>
    <row r="8" spans="2:7" x14ac:dyDescent="0.2">
      <c r="B8" s="46"/>
      <c r="C8" s="48"/>
      <c r="D8" s="48"/>
      <c r="E8" s="48"/>
      <c r="F8" s="48"/>
      <c r="G8" s="47"/>
    </row>
    <row r="9" spans="2:7" s="40" customFormat="1" ht="17.100000000000001" customHeight="1" x14ac:dyDescent="0.25">
      <c r="B9" s="49"/>
      <c r="C9" s="338" t="s">
        <v>164</v>
      </c>
      <c r="D9" s="339"/>
      <c r="E9" s="50"/>
      <c r="F9" s="82"/>
      <c r="G9" s="51"/>
    </row>
    <row r="10" spans="2:7" s="40" customFormat="1" ht="17.100000000000001" customHeight="1" x14ac:dyDescent="0.25">
      <c r="B10" s="49"/>
      <c r="C10" s="335" t="s">
        <v>99</v>
      </c>
      <c r="D10" s="336"/>
      <c r="E10" s="50"/>
      <c r="F10" s="82"/>
      <c r="G10" s="51"/>
    </row>
    <row r="11" spans="2:7" s="40" customFormat="1" ht="17.100000000000001" customHeight="1" x14ac:dyDescent="0.25">
      <c r="B11" s="49"/>
      <c r="C11" s="335" t="s">
        <v>100</v>
      </c>
      <c r="D11" s="336"/>
      <c r="E11" s="50"/>
      <c r="F11" s="82"/>
      <c r="G11" s="51"/>
    </row>
    <row r="12" spans="2:7" x14ac:dyDescent="0.2">
      <c r="B12" s="46"/>
      <c r="C12" s="48"/>
      <c r="D12" s="52"/>
      <c r="E12" s="48"/>
      <c r="F12" s="184"/>
      <c r="G12" s="47"/>
    </row>
    <row r="13" spans="2:7" s="40" customFormat="1" ht="17.100000000000001" customHeight="1" x14ac:dyDescent="0.25">
      <c r="B13" s="49"/>
      <c r="C13" s="335" t="s">
        <v>61</v>
      </c>
      <c r="D13" s="336"/>
      <c r="E13" s="50"/>
      <c r="F13" s="83"/>
      <c r="G13" s="51"/>
    </row>
    <row r="14" spans="2:7" s="40" customFormat="1" ht="17.100000000000001" customHeight="1" x14ac:dyDescent="0.25">
      <c r="B14" s="49"/>
      <c r="C14" s="335" t="s">
        <v>98</v>
      </c>
      <c r="D14" s="336"/>
      <c r="E14" s="50"/>
      <c r="F14" s="83"/>
      <c r="G14" s="51"/>
    </row>
    <row r="15" spans="2:7" s="40" customFormat="1" ht="17.100000000000001" customHeight="1" x14ac:dyDescent="0.25">
      <c r="B15" s="49"/>
      <c r="C15" s="335" t="s">
        <v>101</v>
      </c>
      <c r="D15" s="336"/>
      <c r="E15" s="50"/>
      <c r="F15" s="83"/>
      <c r="G15" s="51"/>
    </row>
    <row r="16" spans="2:7" s="40" customFormat="1" ht="17.100000000000001" customHeight="1" x14ac:dyDescent="0.25">
      <c r="B16" s="49"/>
      <c r="C16" s="50"/>
      <c r="D16" s="52"/>
      <c r="E16" s="50"/>
      <c r="F16" s="185"/>
      <c r="G16" s="51"/>
    </row>
    <row r="17" spans="2:7" s="40" customFormat="1" ht="17.100000000000001" customHeight="1" x14ac:dyDescent="0.25">
      <c r="B17" s="49"/>
      <c r="C17" s="337" t="s">
        <v>168</v>
      </c>
      <c r="D17" s="337"/>
      <c r="E17" s="50"/>
      <c r="F17" s="185"/>
      <c r="G17" s="51"/>
    </row>
    <row r="18" spans="2:7" s="40" customFormat="1" ht="17.100000000000001" customHeight="1" x14ac:dyDescent="0.25">
      <c r="B18" s="49"/>
      <c r="C18" s="335" t="s">
        <v>166</v>
      </c>
      <c r="D18" s="336"/>
      <c r="E18" s="50"/>
      <c r="F18" s="84"/>
      <c r="G18" s="51"/>
    </row>
    <row r="19" spans="2:7" s="40" customFormat="1" ht="17.100000000000001" customHeight="1" x14ac:dyDescent="0.25">
      <c r="B19" s="49"/>
      <c r="C19" s="335" t="s">
        <v>171</v>
      </c>
      <c r="D19" s="336"/>
      <c r="E19" s="50"/>
      <c r="F19" s="84"/>
      <c r="G19" s="51"/>
    </row>
    <row r="20" spans="2:7" s="40" customFormat="1" ht="17.100000000000001" customHeight="1" x14ac:dyDescent="0.25">
      <c r="B20" s="49"/>
      <c r="C20" s="50"/>
      <c r="E20" s="131"/>
      <c r="F20" s="131" t="str">
        <f>IFERROR(IF((F19/(F18*F9))&lt;0.5,"Resulting teacher contact ratio is low. Total lessons taught may be incorrectly calculated as too low",IF((F19/(F18*F9))&gt;1,"Resulting teacher contact ratio is greater than 1. Total lessons taught is too high","")),"")</f>
        <v/>
      </c>
      <c r="G20" s="51"/>
    </row>
    <row r="21" spans="2:7" s="40" customFormat="1" ht="17.100000000000001" customHeight="1" x14ac:dyDescent="0.25">
      <c r="B21" s="49"/>
      <c r="C21" s="337" t="s">
        <v>169</v>
      </c>
      <c r="D21" s="337"/>
      <c r="E21" s="50"/>
      <c r="F21" s="185"/>
      <c r="G21" s="51"/>
    </row>
    <row r="22" spans="2:7" s="40" customFormat="1" ht="17.100000000000001" customHeight="1" x14ac:dyDescent="0.25">
      <c r="B22" s="49"/>
      <c r="C22" s="335" t="s">
        <v>167</v>
      </c>
      <c r="D22" s="336"/>
      <c r="E22" s="50"/>
      <c r="F22" s="84"/>
      <c r="G22" s="51"/>
    </row>
    <row r="23" spans="2:7" s="40" customFormat="1" ht="17.100000000000001" customHeight="1" x14ac:dyDescent="0.25">
      <c r="B23" s="49"/>
      <c r="C23" s="58"/>
      <c r="D23" s="52"/>
      <c r="E23" s="50"/>
      <c r="F23" s="131" t="str">
        <f>IF(F22="","",IFERROR(IF((F22/F9)&lt;0.5,"Resulting teacher contact ratio is low. Total number of classes may be too low",IF((F22/F9)&gt;1,"Resulting teacher contact ratio is greater than 1. Total number of classes is too high","")),""))</f>
        <v/>
      </c>
      <c r="G23" s="51"/>
    </row>
    <row r="24" spans="2:7" s="40" customFormat="1" ht="17.100000000000001" customHeight="1" x14ac:dyDescent="0.25">
      <c r="B24" s="49"/>
      <c r="C24" s="42" t="s">
        <v>304</v>
      </c>
      <c r="D24" s="191" t="s">
        <v>2</v>
      </c>
      <c r="E24" s="50"/>
      <c r="F24" s="83"/>
      <c r="G24" s="51"/>
    </row>
    <row r="25" spans="2:7" s="40" customFormat="1" ht="17.100000000000001" customHeight="1" x14ac:dyDescent="0.25">
      <c r="B25" s="49"/>
      <c r="C25" s="42" t="s">
        <v>305</v>
      </c>
      <c r="D25" s="191" t="s">
        <v>63</v>
      </c>
      <c r="E25" s="50"/>
      <c r="F25" s="83"/>
      <c r="G25" s="51"/>
    </row>
    <row r="26" spans="2:7" s="40" customFormat="1" ht="17.100000000000001" customHeight="1" x14ac:dyDescent="0.25">
      <c r="B26" s="49"/>
      <c r="C26" s="42" t="s">
        <v>306</v>
      </c>
      <c r="D26" s="191" t="s">
        <v>3</v>
      </c>
      <c r="E26" s="50"/>
      <c r="F26" s="83"/>
      <c r="G26" s="51"/>
    </row>
    <row r="27" spans="2:7" s="40" customFormat="1" ht="17.100000000000001" customHeight="1" x14ac:dyDescent="0.25">
      <c r="B27" s="49"/>
      <c r="C27" s="42" t="s">
        <v>307</v>
      </c>
      <c r="D27" s="191" t="s">
        <v>64</v>
      </c>
      <c r="E27" s="50"/>
      <c r="F27" s="83"/>
      <c r="G27" s="51"/>
    </row>
    <row r="28" spans="2:7" s="40" customFormat="1" ht="17.100000000000001" customHeight="1" x14ac:dyDescent="0.25">
      <c r="B28" s="49"/>
      <c r="C28" s="42" t="s">
        <v>308</v>
      </c>
      <c r="D28" s="191" t="s">
        <v>5</v>
      </c>
      <c r="E28" s="50"/>
      <c r="F28" s="83"/>
      <c r="G28" s="51"/>
    </row>
    <row r="29" spans="2:7" s="40" customFormat="1" ht="17.100000000000001" customHeight="1" x14ac:dyDescent="0.25">
      <c r="B29" s="49"/>
      <c r="C29" s="42" t="s">
        <v>309</v>
      </c>
      <c r="D29" s="191" t="s">
        <v>65</v>
      </c>
      <c r="E29" s="50"/>
      <c r="F29" s="83"/>
      <c r="G29" s="51"/>
    </row>
    <row r="30" spans="2:7" s="40" customFormat="1" ht="17.100000000000001" customHeight="1" x14ac:dyDescent="0.25">
      <c r="B30" s="49"/>
      <c r="C30" s="42" t="s">
        <v>310</v>
      </c>
      <c r="D30" s="191" t="s">
        <v>66</v>
      </c>
      <c r="E30" s="50"/>
      <c r="F30" s="83"/>
      <c r="G30" s="51"/>
    </row>
    <row r="31" spans="2:7" s="40" customFormat="1" ht="17.100000000000001" customHeight="1" x14ac:dyDescent="0.25">
      <c r="B31" s="49"/>
      <c r="C31" s="42" t="s">
        <v>311</v>
      </c>
      <c r="D31" s="191" t="s">
        <v>67</v>
      </c>
      <c r="E31" s="50"/>
      <c r="F31" s="83"/>
      <c r="G31" s="51"/>
    </row>
    <row r="32" spans="2:7" s="40" customFormat="1" ht="17.100000000000001" customHeight="1" x14ac:dyDescent="0.25">
      <c r="B32" s="49"/>
      <c r="C32" s="42" t="s">
        <v>312</v>
      </c>
      <c r="D32" s="191" t="s">
        <v>68</v>
      </c>
      <c r="E32" s="50"/>
      <c r="F32" s="83"/>
      <c r="G32" s="51"/>
    </row>
    <row r="33" spans="2:7" s="40" customFormat="1" ht="17.100000000000001" customHeight="1" x14ac:dyDescent="0.25">
      <c r="B33" s="49"/>
      <c r="C33" s="42" t="s">
        <v>69</v>
      </c>
      <c r="D33" s="191" t="s">
        <v>70</v>
      </c>
      <c r="E33" s="50"/>
      <c r="F33" s="83"/>
      <c r="G33" s="51"/>
    </row>
    <row r="34" spans="2:7" s="40" customFormat="1" ht="17.100000000000001" customHeight="1" x14ac:dyDescent="0.25">
      <c r="B34" s="49"/>
      <c r="C34" s="42" t="s">
        <v>71</v>
      </c>
      <c r="D34" s="191" t="s">
        <v>72</v>
      </c>
      <c r="E34" s="50"/>
      <c r="F34" s="83"/>
      <c r="G34" s="51"/>
    </row>
    <row r="35" spans="2:7" s="40" customFormat="1" ht="17.100000000000001" customHeight="1" x14ac:dyDescent="0.25">
      <c r="B35" s="49"/>
      <c r="C35" s="42" t="s">
        <v>313</v>
      </c>
      <c r="D35" s="191" t="s">
        <v>314</v>
      </c>
      <c r="E35" s="50"/>
      <c r="F35" s="83"/>
      <c r="G35" s="51"/>
    </row>
    <row r="36" spans="2:7" s="40" customFormat="1" ht="17.100000000000001" customHeight="1" x14ac:dyDescent="0.25">
      <c r="B36" s="49"/>
      <c r="C36" s="42" t="s">
        <v>73</v>
      </c>
      <c r="D36" s="191" t="s">
        <v>315</v>
      </c>
      <c r="E36" s="50"/>
      <c r="F36" s="83"/>
      <c r="G36" s="51"/>
    </row>
    <row r="37" spans="2:7" s="40" customFormat="1" ht="17.100000000000001" customHeight="1" x14ac:dyDescent="0.25">
      <c r="B37" s="49"/>
      <c r="C37" s="42" t="s">
        <v>74</v>
      </c>
      <c r="D37" s="191" t="s">
        <v>75</v>
      </c>
      <c r="E37" s="50"/>
      <c r="F37" s="83"/>
      <c r="G37" s="51"/>
    </row>
    <row r="38" spans="2:7" s="40" customFormat="1" ht="17.100000000000001" customHeight="1" x14ac:dyDescent="0.25">
      <c r="B38" s="49"/>
      <c r="C38" s="42" t="s">
        <v>76</v>
      </c>
      <c r="D38" s="191" t="s">
        <v>77</v>
      </c>
      <c r="E38" s="50"/>
      <c r="F38" s="83"/>
      <c r="G38" s="51"/>
    </row>
    <row r="39" spans="2:7" s="40" customFormat="1" ht="17.100000000000001" customHeight="1" x14ac:dyDescent="0.25">
      <c r="B39" s="49"/>
      <c r="C39" s="42" t="s">
        <v>78</v>
      </c>
      <c r="D39" s="191" t="s">
        <v>1</v>
      </c>
      <c r="E39" s="50"/>
      <c r="F39" s="83"/>
      <c r="G39" s="51"/>
    </row>
    <row r="40" spans="2:7" s="40" customFormat="1" ht="17.100000000000001" customHeight="1" x14ac:dyDescent="0.25">
      <c r="B40" s="49"/>
      <c r="C40" s="42" t="s">
        <v>79</v>
      </c>
      <c r="D40" s="191" t="s">
        <v>316</v>
      </c>
      <c r="E40" s="50"/>
      <c r="F40" s="83"/>
      <c r="G40" s="51"/>
    </row>
    <row r="41" spans="2:7" s="40" customFormat="1" ht="17.100000000000001" customHeight="1" x14ac:dyDescent="0.25">
      <c r="B41" s="49"/>
      <c r="C41" s="42" t="s">
        <v>80</v>
      </c>
      <c r="D41" s="191" t="s">
        <v>81</v>
      </c>
      <c r="E41" s="50"/>
      <c r="F41" s="83"/>
      <c r="G41" s="51"/>
    </row>
    <row r="42" spans="2:7" s="40" customFormat="1" ht="17.100000000000001" customHeight="1" x14ac:dyDescent="0.25">
      <c r="B42" s="49"/>
      <c r="C42" s="42" t="s">
        <v>82</v>
      </c>
      <c r="D42" s="191" t="s">
        <v>172</v>
      </c>
      <c r="E42" s="50"/>
      <c r="F42" s="83"/>
      <c r="G42" s="51"/>
    </row>
    <row r="43" spans="2:7" s="40" customFormat="1" ht="17.100000000000001" customHeight="1" x14ac:dyDescent="0.25">
      <c r="B43" s="49"/>
      <c r="C43" s="42" t="s">
        <v>317</v>
      </c>
      <c r="D43" s="191" t="s">
        <v>173</v>
      </c>
      <c r="E43" s="50"/>
      <c r="F43" s="83"/>
      <c r="G43" s="51"/>
    </row>
    <row r="44" spans="2:7" s="40" customFormat="1" ht="17.100000000000001" customHeight="1" x14ac:dyDescent="0.25">
      <c r="B44" s="49"/>
      <c r="C44" s="42" t="s">
        <v>83</v>
      </c>
      <c r="D44" s="191" t="s">
        <v>62</v>
      </c>
      <c r="E44" s="50"/>
      <c r="F44" s="83"/>
      <c r="G44" s="51"/>
    </row>
    <row r="45" spans="2:7" s="40" customFormat="1" ht="17.100000000000001" customHeight="1" x14ac:dyDescent="0.25">
      <c r="B45" s="49"/>
      <c r="C45" s="42" t="s">
        <v>84</v>
      </c>
      <c r="D45" s="191" t="s">
        <v>318</v>
      </c>
      <c r="E45" s="50"/>
      <c r="F45" s="83"/>
      <c r="G45" s="51"/>
    </row>
    <row r="46" spans="2:7" s="40" customFormat="1" ht="17.100000000000001" customHeight="1" x14ac:dyDescent="0.25">
      <c r="B46" s="49"/>
      <c r="C46" s="42" t="s">
        <v>85</v>
      </c>
      <c r="D46" s="191" t="s">
        <v>86</v>
      </c>
      <c r="E46" s="50"/>
      <c r="F46" s="83"/>
      <c r="G46" s="51"/>
    </row>
    <row r="47" spans="2:7" s="40" customFormat="1" ht="17.100000000000001" customHeight="1" x14ac:dyDescent="0.25">
      <c r="B47" s="49"/>
      <c r="C47" s="42" t="s">
        <v>87</v>
      </c>
      <c r="D47" s="191" t="s">
        <v>88</v>
      </c>
      <c r="E47" s="50"/>
      <c r="F47" s="83"/>
      <c r="G47" s="51"/>
    </row>
    <row r="48" spans="2:7" s="40" customFormat="1" ht="17.100000000000001" customHeight="1" x14ac:dyDescent="0.25">
      <c r="B48" s="49"/>
      <c r="C48" s="42" t="s">
        <v>89</v>
      </c>
      <c r="D48" s="191" t="s">
        <v>90</v>
      </c>
      <c r="E48" s="50"/>
      <c r="F48" s="83"/>
      <c r="G48" s="51"/>
    </row>
    <row r="49" spans="2:7" s="40" customFormat="1" ht="17.100000000000001" customHeight="1" x14ac:dyDescent="0.25">
      <c r="B49" s="49"/>
      <c r="C49" s="42" t="s">
        <v>91</v>
      </c>
      <c r="D49" s="191" t="s">
        <v>92</v>
      </c>
      <c r="E49" s="50"/>
      <c r="F49" s="83"/>
      <c r="G49" s="51"/>
    </row>
    <row r="50" spans="2:7" s="40" customFormat="1" ht="17.100000000000001" customHeight="1" x14ac:dyDescent="0.25">
      <c r="B50" s="49"/>
      <c r="C50" s="42" t="s">
        <v>319</v>
      </c>
      <c r="D50" s="191" t="s">
        <v>320</v>
      </c>
      <c r="E50" s="50"/>
      <c r="F50" s="83"/>
      <c r="G50" s="51"/>
    </row>
    <row r="51" spans="2:7" s="40" customFormat="1" ht="17.100000000000001" customHeight="1" x14ac:dyDescent="0.25">
      <c r="B51" s="49"/>
      <c r="C51" s="42" t="s">
        <v>93</v>
      </c>
      <c r="D51" s="191" t="s">
        <v>321</v>
      </c>
      <c r="E51" s="50"/>
      <c r="F51" s="83"/>
      <c r="G51" s="51"/>
    </row>
    <row r="52" spans="2:7" s="40" customFormat="1" ht="17.100000000000001" customHeight="1" x14ac:dyDescent="0.25">
      <c r="B52" s="49"/>
      <c r="C52" s="42" t="s">
        <v>94</v>
      </c>
      <c r="D52" s="191" t="s">
        <v>322</v>
      </c>
      <c r="E52" s="50"/>
      <c r="F52" s="83"/>
      <c r="G52" s="51"/>
    </row>
    <row r="53" spans="2:7" s="40" customFormat="1" ht="17.100000000000001" customHeight="1" x14ac:dyDescent="0.25">
      <c r="B53" s="49"/>
      <c r="C53" s="42" t="s">
        <v>95</v>
      </c>
      <c r="D53" s="191" t="s">
        <v>323</v>
      </c>
      <c r="E53" s="50"/>
      <c r="F53" s="83"/>
      <c r="G53" s="51"/>
    </row>
    <row r="54" spans="2:7" s="40" customFormat="1" ht="17.100000000000001" customHeight="1" x14ac:dyDescent="0.25">
      <c r="B54" s="49"/>
      <c r="C54" s="42" t="s">
        <v>96</v>
      </c>
      <c r="D54" s="191" t="s">
        <v>324</v>
      </c>
      <c r="E54" s="50"/>
      <c r="F54" s="83"/>
      <c r="G54" s="51"/>
    </row>
    <row r="55" spans="2:7" s="40" customFormat="1" ht="17.100000000000001" customHeight="1" x14ac:dyDescent="0.25">
      <c r="B55" s="49"/>
      <c r="C55" s="42" t="s">
        <v>97</v>
      </c>
      <c r="D55" s="191" t="s">
        <v>325</v>
      </c>
      <c r="E55" s="50"/>
      <c r="F55" s="83"/>
      <c r="G55" s="51"/>
    </row>
    <row r="56" spans="2:7" ht="15.75" thickBot="1" x14ac:dyDescent="0.25">
      <c r="B56" s="53"/>
      <c r="C56" s="54"/>
      <c r="D56" s="54"/>
      <c r="E56" s="54"/>
      <c r="F56" s="54"/>
      <c r="G56" s="55"/>
    </row>
    <row r="57" spans="2:7" x14ac:dyDescent="0.2"/>
    <row r="58" spans="2:7" x14ac:dyDescent="0.2"/>
    <row r="59" spans="2:7" x14ac:dyDescent="0.2"/>
  </sheetData>
  <sheetProtection algorithmName="SHA-512" hashValue="+/jNW36/ZJtCPS4EpcfrXKSLVrZjGUTEG6RIG46sCKnZ1SbkCdEQ0AuXWbvGYbqT9jHm+/Hf3J98VcS6ecaJwA==" saltValue="SpiQvdPzcoAeInFMtNREhQ==" spinCount="100000" sheet="1" formatColumns="0" formatRows="0" insertColumns="0" insertRows="0"/>
  <mergeCells count="14">
    <mergeCell ref="C3:D3"/>
    <mergeCell ref="C5:F5"/>
    <mergeCell ref="C6:F6"/>
    <mergeCell ref="C22:D22"/>
    <mergeCell ref="C19:D19"/>
    <mergeCell ref="C18:D18"/>
    <mergeCell ref="C15:D15"/>
    <mergeCell ref="C14:D14"/>
    <mergeCell ref="C21:D21"/>
    <mergeCell ref="C17:D17"/>
    <mergeCell ref="C13:D13"/>
    <mergeCell ref="C11:D11"/>
    <mergeCell ref="C9:D9"/>
    <mergeCell ref="C10:D10"/>
  </mergeCells>
  <dataValidations disablePrompts="1" count="2">
    <dataValidation allowBlank="1" showInputMessage="1" showErrorMessage="1" prompt="= sum of all the lessons being taught across the timetable by each teacher" sqref="C19" xr:uid="{00000000-0002-0000-0500-000000000000}"/>
    <dataValidation allowBlank="1" showInputMessage="1" showErrorMessage="1" prompt="= total periods in day multiplied by days in timetable cycle" sqref="C18" xr:uid="{00000000-0002-0000-0500-000001000000}"/>
  </dataValidations>
  <hyperlinks>
    <hyperlink ref="C5:F5" location="Dashboard!G30" display="Dashboard!G30" xr:uid="{4CF18481-88FF-4CD7-98B0-EA886A2B8A96}"/>
  </hyperlink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14999847407452621"/>
    <pageSetUpPr fitToPage="1"/>
  </sheetPr>
  <dimension ref="A1:U110"/>
  <sheetViews>
    <sheetView showGridLines="0" topLeftCell="A78" zoomScale="80" zoomScaleNormal="80" workbookViewId="0">
      <selection activeCell="E21" sqref="E21"/>
    </sheetView>
  </sheetViews>
  <sheetFormatPr defaultColWidth="0" defaultRowHeight="15" zeroHeight="1" x14ac:dyDescent="0.2"/>
  <cols>
    <col min="1" max="1" width="9" style="39" customWidth="1"/>
    <col min="2" max="2" width="79.85546875" style="39" customWidth="1"/>
    <col min="3" max="3" width="3" style="39" customWidth="1"/>
    <col min="4" max="4" width="21.140625" style="39" bestFit="1" customWidth="1"/>
    <col min="5" max="5" width="14.28515625" style="39" bestFit="1" customWidth="1"/>
    <col min="6" max="6" width="2" style="39" customWidth="1"/>
    <col min="7" max="7" width="12" style="39" bestFit="1" customWidth="1"/>
    <col min="8" max="8" width="10" style="39" bestFit="1" customWidth="1"/>
    <col min="9" max="9" width="4.42578125" style="39" bestFit="1" customWidth="1"/>
    <col min="10" max="10" width="10" style="39" bestFit="1" customWidth="1"/>
    <col min="11" max="11" width="2" style="39" customWidth="1"/>
    <col min="12" max="12" width="23.42578125" style="39" bestFit="1" customWidth="1"/>
    <col min="13" max="13" width="10" style="39" customWidth="1"/>
    <col min="14" max="14" width="4.42578125" style="39" bestFit="1" customWidth="1"/>
    <col min="15" max="15" width="10" style="39" customWidth="1"/>
    <col min="16" max="16" width="2" style="39" customWidth="1"/>
    <col min="17" max="17" width="11.140625" style="39" customWidth="1"/>
    <col min="18" max="18" width="10" style="39" bestFit="1" customWidth="1"/>
    <col min="19" max="19" width="4.42578125" style="39" bestFit="1" customWidth="1"/>
    <col min="20" max="20" width="10" style="39" bestFit="1" customWidth="1"/>
    <col min="21" max="21" width="9" style="39" customWidth="1"/>
    <col min="22" max="16384" width="18.7109375" style="39" hidden="1"/>
  </cols>
  <sheetData>
    <row r="1" spans="2:20" x14ac:dyDescent="0.2"/>
    <row r="2" spans="2:20" ht="15" customHeight="1" x14ac:dyDescent="0.2">
      <c r="B2" s="39" t="s">
        <v>127</v>
      </c>
      <c r="G2" s="144"/>
      <c r="H2" s="340" t="s">
        <v>346</v>
      </c>
      <c r="I2" s="341"/>
      <c r="J2" s="341"/>
      <c r="K2" s="341"/>
      <c r="L2" s="341"/>
      <c r="M2" s="341"/>
      <c r="N2" s="341"/>
      <c r="O2" s="341"/>
      <c r="P2" s="341"/>
      <c r="Q2" s="341"/>
      <c r="R2" s="341"/>
      <c r="S2" s="341"/>
      <c r="T2" s="342"/>
    </row>
    <row r="3" spans="2:20" x14ac:dyDescent="0.2">
      <c r="B3" s="123" t="str">
        <f>IF(Dashboard!D15="","","- "&amp;
INDEX(Calcs!L:L,MATCH(Dashboard!D15,Calcs!A:A,0)))</f>
        <v>- a primary school</v>
      </c>
      <c r="H3" s="343"/>
      <c r="I3" s="344"/>
      <c r="J3" s="344"/>
      <c r="K3" s="344"/>
      <c r="L3" s="344"/>
      <c r="M3" s="344"/>
      <c r="N3" s="344"/>
      <c r="O3" s="344"/>
      <c r="P3" s="344"/>
      <c r="Q3" s="344"/>
      <c r="R3" s="344"/>
      <c r="S3" s="344"/>
      <c r="T3" s="345"/>
    </row>
    <row r="4" spans="2:20" x14ac:dyDescent="0.2">
      <c r="B4" s="123" t="str">
        <f>IF(Dashboard!D15="","","- "&amp;
INDEX(Calcs!I:I,MATCH(Dashboard!D15,Calcs!A:A,0)))</f>
        <v>- outside London</v>
      </c>
      <c r="H4" s="343"/>
      <c r="I4" s="344"/>
      <c r="J4" s="344"/>
      <c r="K4" s="344"/>
      <c r="L4" s="344"/>
      <c r="M4" s="344"/>
      <c r="N4" s="344"/>
      <c r="O4" s="344"/>
      <c r="P4" s="344"/>
      <c r="Q4" s="344"/>
      <c r="R4" s="344"/>
      <c r="S4" s="344"/>
      <c r="T4" s="345"/>
    </row>
    <row r="5" spans="2:20" x14ac:dyDescent="0.2">
      <c r="B5" s="123" t="str">
        <f>IF(Dashboard!D15="","",
IF(OR($B$3="- an alternative provision school",$B$3="- a special school",$B$3="- an all-through school",$B$3="- a nursery school"),"",
"- a "&amp;INDEX(Calcs!J:J,MATCH(Dashboard!D15,Calcs!A:A,0))&amp;" school because it has "&amp;INDEX(Calcs!M:M,MATCH(Dashboard!D15,Calcs!A:A,0))))</f>
        <v>- a small school because it has between 101 and 173 pupils</v>
      </c>
      <c r="H5" s="343"/>
      <c r="I5" s="344"/>
      <c r="J5" s="344"/>
      <c r="K5" s="344"/>
      <c r="L5" s="344"/>
      <c r="M5" s="344"/>
      <c r="N5" s="344"/>
      <c r="O5" s="344"/>
      <c r="P5" s="344"/>
      <c r="Q5" s="344"/>
      <c r="R5" s="344"/>
      <c r="S5" s="344"/>
      <c r="T5" s="345"/>
    </row>
    <row r="6" spans="2:20" x14ac:dyDescent="0.2">
      <c r="B6" s="123" t="str">
        <f>IF(Dashboard!D15="","",
IF(OR($B$3="- an alternative provision school",$B$3="- a special school",$B$3="- an all-through school",$B$3="- a nursery school"),"",
"- a school with "&amp;INDEX(Calcs!K:K,MATCH(Dashboard!D15,Calcs!A:A,0))&amp;" because "&amp;INDEX(Calcs!N:N,MATCH(Dashboard!D15,Calcs!A:A,0))&amp;" are eligible"))</f>
        <v>- a school with medium levels of FSM because between 6.2% and 11.8% of pupils are eligible</v>
      </c>
      <c r="H6" s="343"/>
      <c r="I6" s="344"/>
      <c r="J6" s="344"/>
      <c r="K6" s="344"/>
      <c r="L6" s="344"/>
      <c r="M6" s="344"/>
      <c r="N6" s="344"/>
      <c r="O6" s="344"/>
      <c r="P6" s="344"/>
      <c r="Q6" s="344"/>
      <c r="R6" s="344"/>
      <c r="S6" s="344"/>
      <c r="T6" s="345"/>
    </row>
    <row r="7" spans="2:20" x14ac:dyDescent="0.2">
      <c r="B7" s="123"/>
      <c r="H7" s="343"/>
      <c r="I7" s="344"/>
      <c r="J7" s="344"/>
      <c r="K7" s="344"/>
      <c r="L7" s="344"/>
      <c r="M7" s="344"/>
      <c r="N7" s="344"/>
      <c r="O7" s="344"/>
      <c r="P7" s="344"/>
      <c r="Q7" s="344"/>
      <c r="R7" s="344"/>
      <c r="S7" s="344"/>
      <c r="T7" s="345"/>
    </row>
    <row r="8" spans="2:20" x14ac:dyDescent="0.2">
      <c r="B8" s="229" t="str">
        <f>IF(Dashboard!D21="","","You have identified your data as "&amp;INDEX(Calcs!O:O,MATCH(Dashboard!D15,Calcs!A:A,0)))</f>
        <v>You have identified your data as 2020/21 (academic year) or later</v>
      </c>
      <c r="H8" s="343"/>
      <c r="I8" s="344"/>
      <c r="J8" s="344"/>
      <c r="K8" s="344"/>
      <c r="L8" s="344"/>
      <c r="M8" s="344"/>
      <c r="N8" s="344"/>
      <c r="O8" s="344"/>
      <c r="P8" s="344"/>
      <c r="Q8" s="344"/>
      <c r="R8" s="344"/>
      <c r="S8" s="344"/>
      <c r="T8" s="345"/>
    </row>
    <row r="9" spans="2:20" x14ac:dyDescent="0.2">
      <c r="H9" s="343"/>
      <c r="I9" s="344"/>
      <c r="J9" s="344"/>
      <c r="K9" s="344"/>
      <c r="L9" s="344"/>
      <c r="M9" s="344"/>
      <c r="N9" s="344"/>
      <c r="O9" s="344"/>
      <c r="P9" s="344"/>
      <c r="Q9" s="344"/>
      <c r="R9" s="344"/>
      <c r="S9" s="344"/>
      <c r="T9" s="345"/>
    </row>
    <row r="10" spans="2:20" x14ac:dyDescent="0.2">
      <c r="H10" s="343"/>
      <c r="I10" s="344"/>
      <c r="J10" s="344"/>
      <c r="K10" s="344"/>
      <c r="L10" s="344"/>
      <c r="M10" s="344"/>
      <c r="N10" s="344"/>
      <c r="O10" s="344"/>
      <c r="P10" s="344"/>
      <c r="Q10" s="344"/>
      <c r="R10" s="344"/>
      <c r="S10" s="344"/>
      <c r="T10" s="345"/>
    </row>
    <row r="11" spans="2:20" x14ac:dyDescent="0.2">
      <c r="H11" s="343"/>
      <c r="I11" s="344"/>
      <c r="J11" s="344"/>
      <c r="K11" s="344"/>
      <c r="L11" s="344"/>
      <c r="M11" s="344"/>
      <c r="N11" s="344"/>
      <c r="O11" s="344"/>
      <c r="P11" s="344"/>
      <c r="Q11" s="344"/>
      <c r="R11" s="344"/>
      <c r="S11" s="344"/>
      <c r="T11" s="345"/>
    </row>
    <row r="12" spans="2:20" x14ac:dyDescent="0.2">
      <c r="H12" s="343"/>
      <c r="I12" s="344"/>
      <c r="J12" s="344"/>
      <c r="K12" s="344"/>
      <c r="L12" s="344"/>
      <c r="M12" s="344"/>
      <c r="N12" s="344"/>
      <c r="O12" s="344"/>
      <c r="P12" s="344"/>
      <c r="Q12" s="344"/>
      <c r="R12" s="344"/>
      <c r="S12" s="344"/>
      <c r="T12" s="345"/>
    </row>
    <row r="13" spans="2:20" x14ac:dyDescent="0.2">
      <c r="H13" s="343"/>
      <c r="I13" s="344"/>
      <c r="J13" s="344"/>
      <c r="K13" s="344"/>
      <c r="L13" s="344"/>
      <c r="M13" s="344"/>
      <c r="N13" s="344"/>
      <c r="O13" s="344"/>
      <c r="P13" s="344"/>
      <c r="Q13" s="344"/>
      <c r="R13" s="344"/>
      <c r="S13" s="344"/>
      <c r="T13" s="345"/>
    </row>
    <row r="14" spans="2:20" x14ac:dyDescent="0.2">
      <c r="B14" s="16"/>
      <c r="H14" s="343"/>
      <c r="I14" s="344"/>
      <c r="J14" s="344"/>
      <c r="K14" s="344"/>
      <c r="L14" s="344"/>
      <c r="M14" s="344"/>
      <c r="N14" s="344"/>
      <c r="O14" s="344"/>
      <c r="P14" s="344"/>
      <c r="Q14" s="344"/>
      <c r="R14" s="344"/>
      <c r="S14" s="344"/>
      <c r="T14" s="345"/>
    </row>
    <row r="15" spans="2:20" x14ac:dyDescent="0.2">
      <c r="B15" s="39" t="s">
        <v>134</v>
      </c>
      <c r="H15" s="346"/>
      <c r="I15" s="347"/>
      <c r="J15" s="347"/>
      <c r="K15" s="347"/>
      <c r="L15" s="347"/>
      <c r="M15" s="347"/>
      <c r="N15" s="347"/>
      <c r="O15" s="347"/>
      <c r="P15" s="347"/>
      <c r="Q15" s="347"/>
      <c r="R15" s="347"/>
      <c r="S15" s="347"/>
      <c r="T15" s="348"/>
    </row>
    <row r="16" spans="2:20" x14ac:dyDescent="0.2"/>
    <row r="17" spans="2:20" ht="15.75" x14ac:dyDescent="0.2">
      <c r="B17" s="56" t="s">
        <v>125</v>
      </c>
      <c r="C17" s="56"/>
      <c r="D17" s="57"/>
      <c r="E17" s="57"/>
      <c r="F17" s="56"/>
      <c r="G17" s="57"/>
      <c r="H17" s="57"/>
      <c r="I17" s="57"/>
      <c r="J17" s="57"/>
      <c r="K17" s="56"/>
      <c r="L17" s="57"/>
      <c r="M17" s="57"/>
      <c r="N17" s="57"/>
      <c r="O17" s="57"/>
      <c r="P17" s="56"/>
      <c r="Q17" s="57"/>
      <c r="R17" s="57"/>
      <c r="S17" s="57"/>
      <c r="T17" s="57"/>
    </row>
    <row r="18" spans="2:20" ht="5.65" customHeight="1" x14ac:dyDescent="0.2">
      <c r="D18" s="48"/>
      <c r="E18" s="48"/>
      <c r="G18" s="48"/>
      <c r="H18" s="48"/>
      <c r="I18" s="48"/>
      <c r="J18" s="48"/>
      <c r="L18" s="48"/>
      <c r="M18" s="48"/>
      <c r="N18" s="48"/>
      <c r="O18" s="48"/>
      <c r="Q18" s="48"/>
      <c r="R18" s="48"/>
      <c r="S18" s="48"/>
      <c r="T18" s="48"/>
    </row>
    <row r="19" spans="2:20" x14ac:dyDescent="0.2">
      <c r="D19" s="351" t="s">
        <v>113</v>
      </c>
      <c r="E19" s="352"/>
      <c r="G19" s="353" t="s">
        <v>115</v>
      </c>
      <c r="H19" s="354"/>
      <c r="I19" s="354"/>
      <c r="J19" s="355"/>
      <c r="L19" s="356" t="s">
        <v>120</v>
      </c>
      <c r="M19" s="357"/>
      <c r="N19" s="357"/>
      <c r="O19" s="358"/>
      <c r="Q19" s="359" t="s">
        <v>121</v>
      </c>
      <c r="R19" s="360"/>
      <c r="S19" s="360"/>
      <c r="T19" s="361"/>
    </row>
    <row r="20" spans="2:20" ht="5.65" customHeight="1" x14ac:dyDescent="0.2">
      <c r="D20" s="48"/>
      <c r="E20" s="48"/>
      <c r="G20" s="48"/>
      <c r="H20" s="48"/>
      <c r="I20" s="48"/>
      <c r="J20" s="48"/>
      <c r="L20" s="48"/>
      <c r="M20" s="48"/>
      <c r="N20" s="48"/>
      <c r="O20" s="48"/>
      <c r="Q20" s="48"/>
      <c r="R20" s="48"/>
      <c r="S20" s="48"/>
      <c r="T20" s="48"/>
    </row>
    <row r="21" spans="2:20" ht="15.75" x14ac:dyDescent="0.25">
      <c r="B21" s="349" t="s">
        <v>103</v>
      </c>
      <c r="D21" s="93" t="s">
        <v>114</v>
      </c>
      <c r="E21" s="127">
        <f ca="1">IF(Dashboard!D15="","",INDEX(INDIRECT(INDEX(Calcs!$D:$D,MATCH(Dashboard!D15,Calcs!$A:$A,0))),1,1))</f>
        <v>0.40700000000000003</v>
      </c>
      <c r="F21" s="16"/>
      <c r="G21" s="85" t="s">
        <v>116</v>
      </c>
      <c r="H21" s="108">
        <f ca="1">IF(Dashboard!D15="","",INDEX(INDIRECT(INDEX(Calcs!$D:$D,MATCH(Dashboard!D15,Calcs!$A:$A,0))),1,1))</f>
        <v>0.40700000000000003</v>
      </c>
      <c r="I21" s="88" t="s">
        <v>117</v>
      </c>
      <c r="J21" s="107">
        <f ca="1">IF(Dashboard!D15="","",INDEX(INDIRECT(INDEX(Calcs!$D:$D,MATCH(Dashboard!D15,Calcs!$A:$A,0))),1,2))</f>
        <v>0.434</v>
      </c>
      <c r="K21" s="16"/>
      <c r="L21" s="85" t="s">
        <v>116</v>
      </c>
      <c r="M21" s="108">
        <f ca="1">IF(Dashboard!D15="","",INDEX(INDIRECT(INDEX(Calcs!$D:$D,MATCH(Dashboard!D15,Calcs!$A:$A,0))),1,2))</f>
        <v>0.434</v>
      </c>
      <c r="N21" s="88" t="s">
        <v>117</v>
      </c>
      <c r="O21" s="107">
        <f ca="1">IF(Dashboard!D15="","",INDEX(INDIRECT(INDEX(Calcs!$D:$D,MATCH(Dashboard!D15,Calcs!$A:$A,0))),1,3))</f>
        <v>0.46400000000000002</v>
      </c>
      <c r="P21" s="16"/>
      <c r="Q21" s="85" t="s">
        <v>116</v>
      </c>
      <c r="R21" s="108">
        <f ca="1">IF(Dashboard!D15="","",INDEX(INDIRECT(INDEX(Calcs!$D:$D,MATCH(Dashboard!D15,Calcs!$A:$A,0))),1,3))</f>
        <v>0.46400000000000002</v>
      </c>
      <c r="S21" s="88" t="s">
        <v>117</v>
      </c>
      <c r="T21" s="107">
        <f ca="1">IF(Dashboard!D15="","",INDEX(INDIRECT(INDEX(Calcs!$D:$D,MATCH(Dashboard!D15,Calcs!$A:$A,0))),1,5))</f>
        <v>0.48899999999999999</v>
      </c>
    </row>
    <row r="22" spans="2:20" ht="15.75" x14ac:dyDescent="0.25">
      <c r="B22" s="350"/>
      <c r="D22" s="97" t="s">
        <v>119</v>
      </c>
      <c r="E22" s="122">
        <f ca="1">IF(Dashboard!D15="","",INDEX(INDIRECT(INDEX(Calcs!$D:$D,MATCH(Dashboard!D15,Calcs!$A:$A,0))),1,7))</f>
        <v>0.54400000000000004</v>
      </c>
      <c r="F22" s="16"/>
      <c r="G22" s="97" t="s">
        <v>118</v>
      </c>
      <c r="H22" s="109">
        <f ca="1">IF(Dashboard!D15="","",INDEX(INDIRECT(INDEX(Calcs!$D:$D,MATCH(Dashboard!D15,Calcs!$A:$A,0))),1,6))</f>
        <v>0.51900000000000002</v>
      </c>
      <c r="I22" s="91" t="s">
        <v>117</v>
      </c>
      <c r="J22" s="122">
        <f ca="1">IF(Dashboard!D15="","",INDEX(INDIRECT(INDEX(Calcs!$D:$D,MATCH(Dashboard!D15,Calcs!$A:$A,0))),1,7))</f>
        <v>0.54400000000000004</v>
      </c>
      <c r="K22" s="16"/>
      <c r="L22" s="97" t="s">
        <v>118</v>
      </c>
      <c r="M22" s="109">
        <f ca="1">IF(Dashboard!D15="","",INDEX(INDIRECT(INDEX(Calcs!$D:$D,MATCH(Dashboard!D15,Calcs!$A:$A,0))),1,5))</f>
        <v>0.48899999999999999</v>
      </c>
      <c r="N22" s="91" t="s">
        <v>117</v>
      </c>
      <c r="O22" s="122">
        <f ca="1">IF(Dashboard!D15="","",INDEX(INDIRECT(INDEX(Calcs!$D:$D,MATCH(Dashboard!D15,Calcs!$A:$A,0))),1,6))</f>
        <v>0.51900000000000002</v>
      </c>
      <c r="P22" s="16"/>
      <c r="Q22" s="97"/>
      <c r="R22" s="91"/>
      <c r="S22" s="91"/>
      <c r="T22" s="90"/>
    </row>
    <row r="23" spans="2:20" ht="5.45" customHeight="1" x14ac:dyDescent="0.2">
      <c r="B23" s="41"/>
      <c r="D23" s="16"/>
      <c r="E23" s="16"/>
      <c r="F23" s="16"/>
      <c r="G23" s="16"/>
      <c r="H23" s="16"/>
      <c r="I23" s="16"/>
      <c r="J23" s="16"/>
      <c r="K23" s="16"/>
      <c r="L23" s="16"/>
      <c r="M23" s="16"/>
      <c r="N23" s="16"/>
      <c r="O23" s="16"/>
      <c r="P23" s="16"/>
      <c r="Q23" s="16"/>
      <c r="R23" s="16"/>
      <c r="S23" s="16"/>
      <c r="T23" s="16"/>
    </row>
    <row r="24" spans="2:20" ht="15.75" x14ac:dyDescent="0.25">
      <c r="B24" s="349" t="s">
        <v>104</v>
      </c>
      <c r="D24" s="85" t="s">
        <v>122</v>
      </c>
      <c r="E24" s="107">
        <f ca="1">IF(Dashboard!D15="","",INDEX(INDIRECT(INDEX(Calcs!$D:$D,MATCH(Dashboard!D15,Calcs!$A:$A,0))),2,7))</f>
        <v>5.2999999999999999E-2</v>
      </c>
      <c r="F24" s="16"/>
      <c r="G24" s="85" t="s">
        <v>116</v>
      </c>
      <c r="H24" s="108">
        <f ca="1">IF(Dashboard!D15="","",INDEX(INDIRECT(INDEX(Calcs!$D:$D,MATCH(Dashboard!D15,Calcs!$A:$A,0))),2,6))</f>
        <v>4.1000000000000002E-2</v>
      </c>
      <c r="I24" s="88" t="s">
        <v>117</v>
      </c>
      <c r="J24" s="107">
        <f ca="1">IF(Dashboard!D15="","",INDEX(INDIRECT(INDEX(Calcs!$D:$D,MATCH(Dashboard!D15,Calcs!$A:$A,0))),2,7))</f>
        <v>5.2999999999999999E-2</v>
      </c>
      <c r="K24" s="16"/>
      <c r="L24" s="85" t="s">
        <v>116</v>
      </c>
      <c r="M24" s="108">
        <f ca="1">IF(Dashboard!D15="","",INDEX(INDIRECT(INDEX(Calcs!$D:$D,MATCH(Dashboard!D15,Calcs!$A:$A,0))),2,5))</f>
        <v>2.7E-2</v>
      </c>
      <c r="N24" s="88" t="s">
        <v>117</v>
      </c>
      <c r="O24" s="107">
        <f ca="1">IF(Dashboard!D15="","",INDEX(INDIRECT(INDEX(Calcs!$D:$D,MATCH(Dashboard!D15,Calcs!$A:$A,0))),2,6))</f>
        <v>4.1000000000000002E-2</v>
      </c>
      <c r="P24" s="16"/>
      <c r="Q24" s="85" t="s">
        <v>116</v>
      </c>
      <c r="R24" s="108">
        <f ca="1">IF(Dashboard!D15="","",INDEX(INDIRECT(INDEX(Calcs!$D:$D,MATCH(Dashboard!D15,Calcs!$A:$A,0))),2,3))</f>
        <v>1.7000000000000001E-2</v>
      </c>
      <c r="S24" s="88" t="s">
        <v>117</v>
      </c>
      <c r="T24" s="107">
        <f ca="1">IF(Dashboard!D15="","",INDEX(INDIRECT(INDEX(Calcs!$D:$D,MATCH(Dashboard!D15,Calcs!$A:$A,0))),2,5))</f>
        <v>2.7E-2</v>
      </c>
    </row>
    <row r="25" spans="2:20" ht="15.75" x14ac:dyDescent="0.25">
      <c r="B25" s="350"/>
      <c r="D25" s="97"/>
      <c r="E25" s="90"/>
      <c r="F25" s="16"/>
      <c r="G25" s="97"/>
      <c r="H25" s="91"/>
      <c r="I25" s="91"/>
      <c r="J25" s="90"/>
      <c r="K25" s="16"/>
      <c r="L25" s="97" t="s">
        <v>123</v>
      </c>
      <c r="M25" s="109">
        <f ca="1">IF(Dashboard!D15="","",INDEX(INDIRECT(INDEX(Calcs!$D:$D,MATCH(Dashboard!D15,Calcs!$A:$A,0))),2,3))</f>
        <v>1.7000000000000001E-2</v>
      </c>
      <c r="N25" s="91"/>
      <c r="O25" s="90"/>
      <c r="P25" s="16"/>
      <c r="Q25" s="97"/>
      <c r="R25" s="91"/>
      <c r="S25" s="91"/>
      <c r="T25" s="90"/>
    </row>
    <row r="26" spans="2:20" ht="5.25" customHeight="1" x14ac:dyDescent="0.2">
      <c r="B26" s="41"/>
      <c r="D26" s="16"/>
      <c r="E26" s="16"/>
      <c r="F26" s="16"/>
      <c r="G26" s="16"/>
      <c r="H26" s="16"/>
      <c r="I26" s="16"/>
      <c r="J26" s="16"/>
      <c r="K26" s="16"/>
      <c r="L26" s="16"/>
      <c r="M26" s="16"/>
      <c r="N26" s="16"/>
      <c r="O26" s="16"/>
      <c r="P26" s="16"/>
      <c r="Q26" s="16"/>
      <c r="R26" s="16"/>
      <c r="S26" s="16"/>
      <c r="T26" s="16"/>
    </row>
    <row r="27" spans="2:20" ht="15.75" x14ac:dyDescent="0.25">
      <c r="B27" s="349" t="s">
        <v>105</v>
      </c>
      <c r="D27" s="85" t="s">
        <v>122</v>
      </c>
      <c r="E27" s="107">
        <f ca="1">IF(Dashboard!D15="","",INDEX(INDIRECT(INDEX(Calcs!$D:$D,MATCH(Dashboard!D15,Calcs!$A:$A,0))),3,7))</f>
        <v>0.223</v>
      </c>
      <c r="F27" s="16"/>
      <c r="G27" s="85" t="s">
        <v>116</v>
      </c>
      <c r="H27" s="108">
        <f ca="1">IF(Dashboard!D15="","",INDEX(INDIRECT(INDEX(Calcs!$D:$D,MATCH(Dashboard!D15,Calcs!$A:$A,0))),3,6))</f>
        <v>0.19700000000000001</v>
      </c>
      <c r="I27" s="88" t="s">
        <v>117</v>
      </c>
      <c r="J27" s="107">
        <f ca="1">IF(Dashboard!D15="","",INDEX(INDIRECT(INDEX(Calcs!$D:$D,MATCH(Dashboard!D15,Calcs!$A:$A,0))),3,7))</f>
        <v>0.223</v>
      </c>
      <c r="K27" s="16"/>
      <c r="L27" s="85" t="s">
        <v>116</v>
      </c>
      <c r="M27" s="108">
        <f ca="1">IF(Dashboard!D15="","",INDEX(INDIRECT(INDEX(Calcs!$D:$D,MATCH(Dashboard!D15,Calcs!$A:$A,0))),3,5))</f>
        <v>0.17100000000000001</v>
      </c>
      <c r="N27" s="88" t="s">
        <v>117</v>
      </c>
      <c r="O27" s="107">
        <f ca="1">IF(Dashboard!D15="","",INDEX(INDIRECT(INDEX(Calcs!$D:$D,MATCH(Dashboard!D15,Calcs!$A:$A,0))),3,6))</f>
        <v>0.19700000000000001</v>
      </c>
      <c r="P27" s="16"/>
      <c r="Q27" s="85" t="s">
        <v>116</v>
      </c>
      <c r="R27" s="108">
        <f ca="1">IF(Dashboard!D15="","",INDEX(INDIRECT(INDEX(Calcs!$D:$D,MATCH(Dashboard!D15,Calcs!$A:$A,0))),3,3))</f>
        <v>0.15</v>
      </c>
      <c r="S27" s="88" t="s">
        <v>117</v>
      </c>
      <c r="T27" s="107">
        <f ca="1">IF(Dashboard!D15="","",INDEX(INDIRECT(INDEX(Calcs!$D:$D,MATCH(Dashboard!D15,Calcs!$A:$A,0))),3,5))</f>
        <v>0.17100000000000001</v>
      </c>
    </row>
    <row r="28" spans="2:20" ht="15.75" x14ac:dyDescent="0.25">
      <c r="B28" s="350"/>
      <c r="D28" s="97"/>
      <c r="E28" s="90"/>
      <c r="F28" s="16"/>
      <c r="G28" s="97"/>
      <c r="H28" s="91"/>
      <c r="I28" s="91"/>
      <c r="J28" s="90"/>
      <c r="K28" s="16"/>
      <c r="L28" s="97" t="s">
        <v>123</v>
      </c>
      <c r="M28" s="109">
        <f ca="1">IF(Dashboard!D15="","",INDEX(INDIRECT(INDEX(Calcs!$D:$D,MATCH(Dashboard!D15,Calcs!$A:$A,0))),3,3))</f>
        <v>0.15</v>
      </c>
      <c r="N28" s="91"/>
      <c r="O28" s="90"/>
      <c r="P28" s="16"/>
      <c r="Q28" s="97"/>
      <c r="R28" s="91"/>
      <c r="S28" s="91"/>
      <c r="T28" s="90"/>
    </row>
    <row r="29" spans="2:20" ht="5.25" customHeight="1" x14ac:dyDescent="0.2">
      <c r="B29" s="41"/>
      <c r="D29" s="16"/>
      <c r="E29" s="16"/>
      <c r="F29" s="16"/>
      <c r="G29" s="16"/>
      <c r="H29" s="16"/>
      <c r="I29" s="16"/>
      <c r="J29" s="16"/>
      <c r="K29" s="16"/>
      <c r="L29" s="16"/>
      <c r="M29" s="16"/>
      <c r="N29" s="16"/>
      <c r="O29" s="16"/>
      <c r="P29" s="16"/>
      <c r="Q29" s="16"/>
      <c r="R29" s="16"/>
      <c r="S29" s="16"/>
      <c r="T29" s="16"/>
    </row>
    <row r="30" spans="2:20" ht="15.75" x14ac:dyDescent="0.25">
      <c r="B30" s="349" t="s">
        <v>106</v>
      </c>
      <c r="D30" s="85" t="s">
        <v>122</v>
      </c>
      <c r="E30" s="107">
        <f ca="1">IF(Dashboard!D15="","",INDEX(INDIRECT(INDEX(Calcs!$D:$D,MATCH(Dashboard!D15,Calcs!$A:$A,0))),4,7))</f>
        <v>7.4999999999999997E-2</v>
      </c>
      <c r="F30" s="16"/>
      <c r="G30" s="85" t="s">
        <v>116</v>
      </c>
      <c r="H30" s="108">
        <f ca="1">IF(Dashboard!D15="","",INDEX(INDIRECT(INDEX(Calcs!$D:$D,MATCH(Dashboard!D15,Calcs!$A:$A,0))),4,6))</f>
        <v>5.5E-2</v>
      </c>
      <c r="I30" s="88" t="s">
        <v>117</v>
      </c>
      <c r="J30" s="107">
        <f ca="1">IF(Dashboard!D15="","",INDEX(INDIRECT(INDEX(Calcs!$D:$D,MATCH(Dashboard!D15,Calcs!$A:$A,0))),4,7))</f>
        <v>7.4999999999999997E-2</v>
      </c>
      <c r="K30" s="16"/>
      <c r="L30" s="85" t="s">
        <v>114</v>
      </c>
      <c r="M30" s="108">
        <f ca="1">IF(Dashboard!D15="","",INDEX(INDIRECT(INDEX(Calcs!$D:$D,MATCH(Dashboard!D15,Calcs!$A:$A,0))),4,6))</f>
        <v>5.5E-2</v>
      </c>
      <c r="N30" s="88"/>
      <c r="O30" s="120"/>
      <c r="P30" s="16"/>
      <c r="Q30" s="85"/>
      <c r="R30" s="88"/>
      <c r="S30" s="88"/>
      <c r="T30" s="120"/>
    </row>
    <row r="31" spans="2:20" x14ac:dyDescent="0.2">
      <c r="B31" s="350"/>
      <c r="D31" s="97"/>
      <c r="E31" s="90"/>
      <c r="F31" s="16"/>
      <c r="G31" s="97"/>
      <c r="H31" s="91"/>
      <c r="I31" s="91"/>
      <c r="J31" s="90"/>
      <c r="K31" s="16"/>
      <c r="L31" s="97"/>
      <c r="M31" s="91"/>
      <c r="N31" s="91"/>
      <c r="O31" s="90"/>
      <c r="P31" s="16"/>
      <c r="Q31" s="97"/>
      <c r="R31" s="91"/>
      <c r="S31" s="91"/>
      <c r="T31" s="90"/>
    </row>
    <row r="32" spans="2:20" ht="5.25" customHeight="1" x14ac:dyDescent="0.2">
      <c r="B32" s="41"/>
      <c r="D32" s="16"/>
      <c r="E32" s="16"/>
      <c r="F32" s="16"/>
      <c r="G32" s="16"/>
      <c r="H32" s="16"/>
      <c r="I32" s="16"/>
      <c r="J32" s="16"/>
      <c r="K32" s="16"/>
      <c r="L32" s="16"/>
      <c r="M32" s="16"/>
      <c r="N32" s="16"/>
      <c r="O32" s="16"/>
      <c r="P32" s="16"/>
      <c r="Q32" s="16"/>
      <c r="R32" s="16"/>
      <c r="S32" s="16"/>
      <c r="T32" s="16"/>
    </row>
    <row r="33" spans="2:20" ht="15.75" x14ac:dyDescent="0.25">
      <c r="B33" s="349" t="s">
        <v>107</v>
      </c>
      <c r="D33" s="85" t="s">
        <v>122</v>
      </c>
      <c r="E33" s="107">
        <f ca="1">IF(Dashboard!D15="","",INDEX(INDIRECT(INDEX(Calcs!$D:$D,MATCH(Dashboard!D15,Calcs!$A:$A,0))),5,7))</f>
        <v>6.4000000000000001E-2</v>
      </c>
      <c r="F33" s="16"/>
      <c r="G33" s="85" t="s">
        <v>116</v>
      </c>
      <c r="H33" s="108">
        <f ca="1">IF(Dashboard!D15="","",INDEX(INDIRECT(INDEX(Calcs!$D:$D,MATCH(Dashboard!D15,Calcs!$A:$A,0))),5,6))</f>
        <v>5.2000000000000005E-2</v>
      </c>
      <c r="I33" s="88" t="s">
        <v>117</v>
      </c>
      <c r="J33" s="107">
        <f ca="1">IF(Dashboard!D15="","",INDEX(INDIRECT(INDEX(Calcs!$D:$D,MATCH(Dashboard!D15,Calcs!$A:$A,0))),5,7))</f>
        <v>6.4000000000000001E-2</v>
      </c>
      <c r="K33" s="16"/>
      <c r="L33" s="85" t="s">
        <v>114</v>
      </c>
      <c r="M33" s="108">
        <f ca="1">IF(Dashboard!D15="","",INDEX(INDIRECT(INDEX(Calcs!$D:$D,MATCH(Dashboard!D15,Calcs!$A:$A,0))),5,6))</f>
        <v>5.2000000000000005E-2</v>
      </c>
      <c r="N33" s="88"/>
      <c r="O33" s="120"/>
      <c r="P33" s="16"/>
      <c r="Q33" s="85"/>
      <c r="R33" s="88"/>
      <c r="S33" s="88"/>
      <c r="T33" s="120"/>
    </row>
    <row r="34" spans="2:20" x14ac:dyDescent="0.2">
      <c r="B34" s="350"/>
      <c r="D34" s="97"/>
      <c r="E34" s="90"/>
      <c r="F34" s="16"/>
      <c r="G34" s="97"/>
      <c r="H34" s="91"/>
      <c r="I34" s="91"/>
      <c r="J34" s="90"/>
      <c r="K34" s="16"/>
      <c r="L34" s="97"/>
      <c r="M34" s="91"/>
      <c r="N34" s="91"/>
      <c r="O34" s="90"/>
      <c r="P34" s="16"/>
      <c r="Q34" s="97"/>
      <c r="R34" s="91"/>
      <c r="S34" s="91"/>
      <c r="T34" s="90"/>
    </row>
    <row r="35" spans="2:20" ht="5.25" customHeight="1" x14ac:dyDescent="0.2">
      <c r="B35" s="41"/>
      <c r="D35" s="16"/>
      <c r="E35" s="16"/>
      <c r="F35" s="16"/>
      <c r="G35" s="16"/>
      <c r="H35" s="16"/>
      <c r="I35" s="16"/>
      <c r="J35" s="16"/>
      <c r="K35" s="16"/>
      <c r="L35" s="16"/>
      <c r="M35" s="16"/>
      <c r="N35" s="16"/>
      <c r="O35" s="16"/>
      <c r="P35" s="16"/>
      <c r="Q35" s="16"/>
      <c r="R35" s="16"/>
      <c r="S35" s="16"/>
      <c r="T35" s="16"/>
    </row>
    <row r="36" spans="2:20" ht="15.75" x14ac:dyDescent="0.25">
      <c r="B36" s="349" t="s">
        <v>108</v>
      </c>
      <c r="D36" s="85" t="s">
        <v>122</v>
      </c>
      <c r="E36" s="107">
        <f ca="1">IF(Dashboard!D15="","",INDEX(INDIRECT(INDEX(Calcs!$D:$D,MATCH(Dashboard!D15,Calcs!$A:$A,0))),6,7))</f>
        <v>0.109</v>
      </c>
      <c r="F36" s="16"/>
      <c r="G36" s="85" t="s">
        <v>116</v>
      </c>
      <c r="H36" s="108">
        <f ca="1">IF(Dashboard!D15="","",INDEX(INDIRECT(INDEX(Calcs!$D:$D,MATCH(Dashboard!D15,Calcs!$A:$A,0))),6,6))</f>
        <v>9.8000000000000004E-2</v>
      </c>
      <c r="I36" s="88" t="s">
        <v>117</v>
      </c>
      <c r="J36" s="107">
        <f ca="1">IF(Dashboard!D15="","",INDEX(INDIRECT(INDEX(Calcs!$D:$D,MATCH(Dashboard!D15,Calcs!$A:$A,0))),6,7))</f>
        <v>0.109</v>
      </c>
      <c r="K36" s="16"/>
      <c r="L36" s="85" t="s">
        <v>114</v>
      </c>
      <c r="M36" s="108">
        <f ca="1">IF(Dashboard!D15="","",INDEX(INDIRECT(INDEX(Calcs!$D:$D,MATCH(Dashboard!D15,Calcs!$A:$A,0))),6,6))</f>
        <v>9.8000000000000004E-2</v>
      </c>
      <c r="N36" s="88"/>
      <c r="O36" s="120"/>
      <c r="P36" s="16"/>
      <c r="Q36" s="85"/>
      <c r="R36" s="88"/>
      <c r="S36" s="88"/>
      <c r="T36" s="120"/>
    </row>
    <row r="37" spans="2:20" x14ac:dyDescent="0.2">
      <c r="B37" s="350"/>
      <c r="D37" s="97"/>
      <c r="E37" s="90"/>
      <c r="F37" s="16"/>
      <c r="G37" s="97"/>
      <c r="H37" s="91"/>
      <c r="I37" s="91"/>
      <c r="J37" s="90"/>
      <c r="K37" s="16"/>
      <c r="L37" s="97"/>
      <c r="M37" s="91"/>
      <c r="N37" s="91"/>
      <c r="O37" s="90"/>
      <c r="P37" s="16"/>
      <c r="Q37" s="97"/>
      <c r="R37" s="91"/>
      <c r="S37" s="91"/>
      <c r="T37" s="90"/>
    </row>
    <row r="38" spans="2:20" ht="5.25" customHeight="1" x14ac:dyDescent="0.2">
      <c r="B38" s="41"/>
      <c r="D38" s="16"/>
      <c r="E38" s="16"/>
      <c r="F38" s="16"/>
      <c r="G38" s="16"/>
      <c r="H38" s="16"/>
      <c r="I38" s="16"/>
      <c r="J38" s="16"/>
      <c r="K38" s="16"/>
      <c r="L38" s="16"/>
      <c r="M38" s="16"/>
      <c r="N38" s="16"/>
      <c r="O38" s="16"/>
      <c r="P38" s="16"/>
      <c r="Q38" s="16"/>
      <c r="R38" s="16"/>
      <c r="S38" s="16"/>
      <c r="T38" s="16"/>
    </row>
    <row r="39" spans="2:20" ht="15.75" x14ac:dyDescent="0.25">
      <c r="B39" s="349" t="s">
        <v>109</v>
      </c>
      <c r="D39" s="85" t="s">
        <v>114</v>
      </c>
      <c r="E39" s="107">
        <f ca="1">IF(Dashboard!D15="","",INDEX(INDIRECT(INDEX(Calcs!$D:$D,MATCH(Dashboard!D15,Calcs!$A:$A,0))),7,1))</f>
        <v>3.1E-2</v>
      </c>
      <c r="F39" s="16"/>
      <c r="G39" s="85" t="s">
        <v>116</v>
      </c>
      <c r="H39" s="108">
        <f ca="1">IF(Dashboard!D15="","",INDEX(INDIRECT(INDEX(Calcs!$D:$D,MATCH(Dashboard!D15,Calcs!$A:$A,0))),7,1))</f>
        <v>3.1E-2</v>
      </c>
      <c r="I39" s="88" t="s">
        <v>117</v>
      </c>
      <c r="J39" s="107">
        <f ca="1">IF(Dashboard!D15="","",INDEX(INDIRECT(INDEX(Calcs!$D:$D,MATCH(Dashboard!D15,Calcs!$A:$A,0))),7,2))</f>
        <v>3.6999999999999998E-2</v>
      </c>
      <c r="K39" s="16"/>
      <c r="L39" s="85" t="s">
        <v>116</v>
      </c>
      <c r="M39" s="108">
        <f ca="1">IF(Dashboard!D15="","",INDEX(INDIRECT(INDEX(Calcs!$D:$D,MATCH(Dashboard!D15,Calcs!$A:$A,0))),7,2))</f>
        <v>3.6999999999999998E-2</v>
      </c>
      <c r="N39" s="88" t="s">
        <v>117</v>
      </c>
      <c r="O39" s="107">
        <f ca="1">IF(Dashboard!D15="","",INDEX(INDIRECT(INDEX(Calcs!$D:$D,MATCH(Dashboard!D15,Calcs!$A:$A,0))),7,3))</f>
        <v>4.8000000000000001E-2</v>
      </c>
      <c r="P39" s="16"/>
      <c r="Q39" s="85" t="s">
        <v>116</v>
      </c>
      <c r="R39" s="108">
        <f ca="1">IF(Dashboard!D15="","",INDEX(INDIRECT(INDEX(Calcs!$D:$D,MATCH(Dashboard!D15,Calcs!$A:$A,0))),7,3))</f>
        <v>4.8000000000000001E-2</v>
      </c>
      <c r="S39" s="88" t="s">
        <v>117</v>
      </c>
      <c r="T39" s="107">
        <f ca="1">IF(Dashboard!D15="","",INDEX(INDIRECT(INDEX(Calcs!$D:$D,MATCH(Dashboard!D15,Calcs!$A:$A,0))),7,5))</f>
        <v>5.7000000000000002E-2</v>
      </c>
    </row>
    <row r="40" spans="2:20" ht="15.75" x14ac:dyDescent="0.25">
      <c r="B40" s="350"/>
      <c r="D40" s="97"/>
      <c r="E40" s="90"/>
      <c r="F40" s="16"/>
      <c r="G40" s="97"/>
      <c r="H40" s="91"/>
      <c r="I40" s="91"/>
      <c r="J40" s="90"/>
      <c r="K40" s="16"/>
      <c r="L40" s="97" t="s">
        <v>124</v>
      </c>
      <c r="M40" s="109">
        <f ca="1">IF(Dashboard!D15="","",INDEX(INDIRECT(INDEX(Calcs!$D:$D,MATCH(Dashboard!D15,Calcs!$A:$A,0))),7,5))</f>
        <v>5.7000000000000002E-2</v>
      </c>
      <c r="N40" s="91"/>
      <c r="O40" s="90"/>
      <c r="P40" s="16"/>
      <c r="Q40" s="97"/>
      <c r="R40" s="91"/>
      <c r="S40" s="91"/>
      <c r="T40" s="90"/>
    </row>
    <row r="41" spans="2:20" ht="5.25" customHeight="1" x14ac:dyDescent="0.2">
      <c r="B41" s="41"/>
      <c r="D41" s="16"/>
      <c r="E41" s="16"/>
      <c r="F41" s="16"/>
      <c r="G41" s="16"/>
      <c r="H41" s="16"/>
      <c r="I41" s="16"/>
      <c r="J41" s="16"/>
      <c r="K41" s="16"/>
      <c r="L41" s="16"/>
      <c r="M41" s="16"/>
      <c r="N41" s="16"/>
      <c r="O41" s="16"/>
      <c r="P41" s="16"/>
      <c r="Q41" s="16"/>
      <c r="R41" s="16"/>
      <c r="S41" s="16"/>
      <c r="T41" s="16"/>
    </row>
    <row r="42" spans="2:20" ht="15.75" x14ac:dyDescent="0.25">
      <c r="B42" s="349" t="s">
        <v>110</v>
      </c>
      <c r="D42" s="85" t="s">
        <v>122</v>
      </c>
      <c r="E42" s="107">
        <f ca="1">IF(Dashboard!D15="","",INDEX(INDIRECT(INDEX(Calcs!$D:$D,MATCH(Dashboard!D15,Calcs!$A:$A,0))),8,7))</f>
        <v>1.9E-2</v>
      </c>
      <c r="F42" s="16"/>
      <c r="G42" s="85" t="s">
        <v>116</v>
      </c>
      <c r="H42" s="108">
        <f ca="1">IF(Dashboard!D15="","",INDEX(INDIRECT(INDEX(Calcs!$D:$D,MATCH(Dashboard!D15,Calcs!$A:$A,0))),8,6))</f>
        <v>1.7000000000000001E-2</v>
      </c>
      <c r="I42" s="88" t="s">
        <v>117</v>
      </c>
      <c r="J42" s="107">
        <f ca="1">IF(Dashboard!D15="","",INDEX(INDIRECT(INDEX(Calcs!$D:$D,MATCH(Dashboard!D15,Calcs!$A:$A,0))),8,7))</f>
        <v>1.9E-2</v>
      </c>
      <c r="K42" s="16"/>
      <c r="L42" s="85" t="s">
        <v>114</v>
      </c>
      <c r="M42" s="108">
        <f ca="1">IF(Dashboard!D15="","",INDEX(INDIRECT(INDEX(Calcs!$D:$D,MATCH(Dashboard!D15,Calcs!$A:$A,0))),8,6))</f>
        <v>1.7000000000000001E-2</v>
      </c>
      <c r="N42" s="88"/>
      <c r="O42" s="120"/>
      <c r="P42" s="16"/>
      <c r="Q42" s="85"/>
      <c r="R42" s="88"/>
      <c r="S42" s="88"/>
      <c r="T42" s="120"/>
    </row>
    <row r="43" spans="2:20" ht="15" customHeight="1" x14ac:dyDescent="0.2">
      <c r="B43" s="350"/>
      <c r="D43" s="97"/>
      <c r="E43" s="90"/>
      <c r="F43" s="16"/>
      <c r="G43" s="97"/>
      <c r="H43" s="91"/>
      <c r="I43" s="91"/>
      <c r="J43" s="90"/>
      <c r="K43" s="16"/>
      <c r="L43" s="97"/>
      <c r="M43" s="91"/>
      <c r="N43" s="91"/>
      <c r="O43" s="90"/>
      <c r="P43" s="16"/>
      <c r="Q43" s="97"/>
      <c r="R43" s="91"/>
      <c r="S43" s="91"/>
      <c r="T43" s="90"/>
    </row>
    <row r="44" spans="2:20" ht="5.25" customHeight="1" x14ac:dyDescent="0.2">
      <c r="B44" s="40"/>
    </row>
    <row r="45" spans="2:20" ht="15" customHeight="1" x14ac:dyDescent="0.2">
      <c r="B45" s="40"/>
    </row>
    <row r="46" spans="2:20" ht="15.75" x14ac:dyDescent="0.2">
      <c r="B46" s="56" t="s">
        <v>52</v>
      </c>
      <c r="C46" s="56"/>
      <c r="D46" s="57"/>
      <c r="E46" s="57"/>
      <c r="F46" s="56"/>
      <c r="G46" s="57"/>
      <c r="H46" s="57"/>
      <c r="I46" s="57"/>
      <c r="J46" s="57"/>
      <c r="K46" s="56"/>
      <c r="L46" s="57"/>
      <c r="M46" s="57"/>
      <c r="N46" s="57"/>
      <c r="O46" s="57"/>
      <c r="P46" s="56"/>
      <c r="Q46" s="57"/>
      <c r="R46" s="57"/>
      <c r="S46" s="57"/>
      <c r="T46" s="57"/>
    </row>
    <row r="47" spans="2:20" ht="5.65" customHeight="1" x14ac:dyDescent="0.2">
      <c r="D47" s="48"/>
      <c r="E47" s="48"/>
      <c r="G47" s="48"/>
      <c r="H47" s="48"/>
      <c r="I47" s="48"/>
      <c r="J47" s="48"/>
      <c r="L47" s="48"/>
      <c r="M47" s="48"/>
      <c r="N47" s="48"/>
      <c r="O47" s="48"/>
      <c r="Q47" s="48"/>
      <c r="R47" s="48"/>
      <c r="S47" s="48"/>
      <c r="T47" s="48"/>
    </row>
    <row r="48" spans="2:20" x14ac:dyDescent="0.2">
      <c r="D48" s="351" t="s">
        <v>113</v>
      </c>
      <c r="E48" s="352"/>
      <c r="G48" s="353" t="s">
        <v>115</v>
      </c>
      <c r="H48" s="354"/>
      <c r="I48" s="354"/>
      <c r="J48" s="355"/>
      <c r="L48" s="356" t="s">
        <v>120</v>
      </c>
      <c r="M48" s="357"/>
      <c r="N48" s="357"/>
      <c r="O48" s="358"/>
      <c r="Q48" s="359" t="s">
        <v>121</v>
      </c>
      <c r="R48" s="360"/>
      <c r="S48" s="360"/>
      <c r="T48" s="361"/>
    </row>
    <row r="49" spans="2:20" ht="5.65" customHeight="1" x14ac:dyDescent="0.2">
      <c r="D49" s="48"/>
      <c r="E49" s="48"/>
      <c r="G49" s="48"/>
      <c r="H49" s="48"/>
      <c r="I49" s="48"/>
      <c r="J49" s="48"/>
      <c r="L49" s="48"/>
      <c r="M49" s="48"/>
      <c r="N49" s="48"/>
      <c r="O49" s="48"/>
      <c r="Q49" s="48"/>
      <c r="R49" s="48"/>
      <c r="S49" s="48"/>
      <c r="T49" s="48"/>
    </row>
    <row r="50" spans="2:20" ht="15.75" x14ac:dyDescent="0.25">
      <c r="B50" s="349" t="s">
        <v>111</v>
      </c>
      <c r="D50" s="85" t="s">
        <v>114</v>
      </c>
      <c r="E50" s="107">
        <f>IF(Dashboard!D15="","",-0.05)</f>
        <v>-0.05</v>
      </c>
      <c r="F50" s="114"/>
      <c r="G50" s="174" t="s">
        <v>116</v>
      </c>
      <c r="H50" s="108">
        <f>IF(Dashboard!D15="","",-0.05)</f>
        <v>-0.05</v>
      </c>
      <c r="I50" s="175" t="s">
        <v>117</v>
      </c>
      <c r="J50" s="107">
        <f>IF(Dashboard!D15="","",0)</f>
        <v>0</v>
      </c>
      <c r="K50" s="114"/>
      <c r="L50" s="174" t="s">
        <v>163</v>
      </c>
      <c r="M50" s="121">
        <f>IF(Dashboard!D15="","",0)</f>
        <v>0</v>
      </c>
      <c r="N50" s="88"/>
      <c r="O50" s="120"/>
      <c r="P50" s="16"/>
      <c r="Q50" s="85"/>
      <c r="R50" s="88"/>
      <c r="S50" s="88"/>
      <c r="T50" s="120"/>
    </row>
    <row r="51" spans="2:20" x14ac:dyDescent="0.2">
      <c r="B51" s="350"/>
      <c r="D51" s="97"/>
      <c r="E51" s="176"/>
      <c r="F51" s="114"/>
      <c r="G51" s="177"/>
      <c r="H51" s="178"/>
      <c r="I51" s="178"/>
      <c r="J51" s="176"/>
      <c r="K51" s="114"/>
      <c r="L51" s="177"/>
      <c r="M51" s="179"/>
      <c r="N51" s="91"/>
      <c r="O51" s="90"/>
      <c r="P51" s="16"/>
      <c r="Q51" s="97"/>
      <c r="R51" s="91"/>
      <c r="S51" s="91"/>
      <c r="T51" s="90"/>
    </row>
    <row r="52" spans="2:20" ht="5.25" customHeight="1" x14ac:dyDescent="0.2">
      <c r="B52" s="41"/>
      <c r="D52" s="16"/>
      <c r="E52" s="114"/>
      <c r="F52" s="114"/>
      <c r="G52" s="114"/>
      <c r="H52" s="114"/>
      <c r="I52" s="114"/>
      <c r="J52" s="114"/>
      <c r="K52" s="114"/>
      <c r="L52" s="114"/>
      <c r="M52" s="180"/>
      <c r="N52" s="16"/>
      <c r="O52" s="16"/>
      <c r="P52" s="16"/>
      <c r="Q52" s="16"/>
      <c r="R52" s="16"/>
      <c r="S52" s="16"/>
      <c r="T52" s="16"/>
    </row>
    <row r="53" spans="2:20" ht="15.75" x14ac:dyDescent="0.25">
      <c r="B53" s="349" t="s">
        <v>112</v>
      </c>
      <c r="D53" s="85" t="s">
        <v>114</v>
      </c>
      <c r="E53" s="107">
        <f>IF(Dashboard!D15="","",-0.05)</f>
        <v>-0.05</v>
      </c>
      <c r="F53" s="114"/>
      <c r="G53" s="174" t="s">
        <v>116</v>
      </c>
      <c r="H53" s="108">
        <f>IF(Dashboard!D15="","",-0.05)</f>
        <v>-0.05</v>
      </c>
      <c r="I53" s="175" t="s">
        <v>117</v>
      </c>
      <c r="J53" s="107">
        <f>IF(Dashboard!D15="","",0)</f>
        <v>0</v>
      </c>
      <c r="K53" s="114"/>
      <c r="L53" s="174" t="s">
        <v>163</v>
      </c>
      <c r="M53" s="121">
        <f>IF(Dashboard!D15="","",0)</f>
        <v>0</v>
      </c>
      <c r="N53" s="88"/>
      <c r="O53" s="120"/>
      <c r="P53" s="16"/>
      <c r="Q53" s="85"/>
      <c r="R53" s="88"/>
      <c r="S53" s="88"/>
      <c r="T53" s="120"/>
    </row>
    <row r="54" spans="2:20" x14ac:dyDescent="0.2">
      <c r="B54" s="350"/>
      <c r="D54" s="97"/>
      <c r="E54" s="90"/>
      <c r="F54" s="16"/>
      <c r="G54" s="97"/>
      <c r="H54" s="91"/>
      <c r="I54" s="91"/>
      <c r="J54" s="90"/>
      <c r="K54" s="16"/>
      <c r="L54" s="97"/>
      <c r="M54" s="91"/>
      <c r="N54" s="91"/>
      <c r="O54" s="90"/>
      <c r="P54" s="16"/>
      <c r="Q54" s="97"/>
      <c r="R54" s="91"/>
      <c r="S54" s="91"/>
      <c r="T54" s="90"/>
    </row>
    <row r="55" spans="2:20" ht="5.25" customHeight="1" x14ac:dyDescent="0.2">
      <c r="B55" s="40"/>
    </row>
    <row r="56" spans="2:20" ht="15" customHeight="1" x14ac:dyDescent="0.2">
      <c r="B56" s="40"/>
    </row>
    <row r="57" spans="2:20" ht="15.75" x14ac:dyDescent="0.2">
      <c r="B57" s="56" t="s">
        <v>53</v>
      </c>
      <c r="C57" s="56"/>
      <c r="D57" s="57"/>
      <c r="E57" s="57"/>
      <c r="F57" s="56"/>
      <c r="G57" s="57"/>
      <c r="H57" s="57"/>
      <c r="I57" s="57"/>
      <c r="J57" s="57"/>
      <c r="K57" s="56"/>
      <c r="L57" s="57"/>
      <c r="M57" s="57"/>
      <c r="N57" s="57"/>
      <c r="O57" s="57"/>
      <c r="P57" s="56"/>
      <c r="Q57" s="57"/>
      <c r="R57" s="57"/>
      <c r="S57" s="57"/>
      <c r="T57" s="57"/>
    </row>
    <row r="58" spans="2:20" ht="5.65" customHeight="1" x14ac:dyDescent="0.2">
      <c r="D58" s="48"/>
      <c r="E58" s="48"/>
      <c r="G58" s="48"/>
      <c r="H58" s="48"/>
      <c r="I58" s="48"/>
      <c r="J58" s="48"/>
      <c r="L58" s="48"/>
      <c r="M58" s="48"/>
      <c r="N58" s="48"/>
      <c r="O58" s="48"/>
      <c r="Q58" s="48"/>
      <c r="R58" s="48"/>
      <c r="S58" s="48"/>
      <c r="T58" s="48"/>
    </row>
    <row r="59" spans="2:20" x14ac:dyDescent="0.2">
      <c r="D59" s="351" t="s">
        <v>113</v>
      </c>
      <c r="E59" s="352"/>
      <c r="G59" s="353" t="s">
        <v>115</v>
      </c>
      <c r="H59" s="354"/>
      <c r="I59" s="354"/>
      <c r="J59" s="355"/>
      <c r="L59" s="356" t="s">
        <v>120</v>
      </c>
      <c r="M59" s="357"/>
      <c r="N59" s="357"/>
      <c r="O59" s="358"/>
      <c r="Q59" s="359" t="s">
        <v>121</v>
      </c>
      <c r="R59" s="360"/>
      <c r="S59" s="360"/>
      <c r="T59" s="361"/>
    </row>
    <row r="60" spans="2:20" ht="5.65" customHeight="1" x14ac:dyDescent="0.2">
      <c r="D60" s="48"/>
      <c r="E60" s="48"/>
      <c r="G60" s="48"/>
      <c r="H60" s="48"/>
      <c r="I60" s="48"/>
      <c r="J60" s="48"/>
      <c r="L60" s="48"/>
      <c r="M60" s="48"/>
      <c r="N60" s="48"/>
      <c r="O60" s="48"/>
      <c r="Q60" s="48"/>
      <c r="R60" s="48"/>
      <c r="S60" s="48"/>
      <c r="T60" s="48"/>
    </row>
    <row r="61" spans="2:20" ht="15.75" x14ac:dyDescent="0.25">
      <c r="B61" s="349" t="s">
        <v>33</v>
      </c>
      <c r="D61" s="85" t="s">
        <v>114</v>
      </c>
      <c r="E61" s="103">
        <f ca="1">IF(Dashboard!D15="","",INDEX(INDIRECT(INDEX(Calcs!$D:$D,MATCH(Dashboard!D15,Calcs!$A:$A,0))),13,1))</f>
        <v>45533</v>
      </c>
      <c r="F61" s="16"/>
      <c r="G61" s="85" t="s">
        <v>116</v>
      </c>
      <c r="H61" s="104">
        <f ca="1">IF(Dashboard!D15="","",INDEX(INDIRECT(INDEX(Calcs!$D:$D,MATCH(Dashboard!D15,Calcs!$A:$A,0))),13,1))</f>
        <v>45533</v>
      </c>
      <c r="I61" s="88" t="s">
        <v>117</v>
      </c>
      <c r="J61" s="103">
        <f ca="1">IF(Dashboard!D15="","",INDEX(INDIRECT(INDEX(Calcs!$D:$D,MATCH(Dashboard!D15,Calcs!$A:$A,0))),13,2))</f>
        <v>48451</v>
      </c>
      <c r="K61" s="16"/>
      <c r="L61" s="85" t="s">
        <v>116</v>
      </c>
      <c r="M61" s="104">
        <f ca="1">IF(Dashboard!D15="","",INDEX(INDIRECT(INDEX(Calcs!$D:$D,MATCH(Dashboard!D15,Calcs!$A:$A,0))),13,2))</f>
        <v>48451</v>
      </c>
      <c r="N61" s="88" t="s">
        <v>117</v>
      </c>
      <c r="O61" s="103">
        <f ca="1">IF(Dashboard!D15="","",INDEX(INDIRECT(INDEX(Calcs!$D:$D,MATCH(Dashboard!D15,Calcs!$A:$A,0))),13,3))</f>
        <v>51873</v>
      </c>
      <c r="P61" s="16"/>
      <c r="Q61" s="85" t="s">
        <v>116</v>
      </c>
      <c r="R61" s="104">
        <f ca="1">IF(Dashboard!D15="","",INDEX(INDIRECT(INDEX(Calcs!$D:$D,MATCH(Dashboard!D15,Calcs!$A:$A,0))),13,3))</f>
        <v>51873</v>
      </c>
      <c r="S61" s="88" t="s">
        <v>117</v>
      </c>
      <c r="T61" s="103">
        <f ca="1">IF(Dashboard!D15="","",INDEX(INDIRECT(INDEX(Calcs!$D:$D,MATCH(Dashboard!D15,Calcs!$A:$A,0))),13,5))</f>
        <v>54790</v>
      </c>
    </row>
    <row r="62" spans="2:20" ht="15.75" x14ac:dyDescent="0.25">
      <c r="B62" s="350"/>
      <c r="D62" s="97" t="s">
        <v>119</v>
      </c>
      <c r="E62" s="105">
        <f ca="1">IF(Dashboard!D15="","",INDEX(INDIRECT(INDEX(Calcs!$D:$D,MATCH(Dashboard!D15,Calcs!$A:$A,0))),13,7))</f>
        <v>62011</v>
      </c>
      <c r="F62" s="16"/>
      <c r="G62" s="97" t="s">
        <v>118</v>
      </c>
      <c r="H62" s="106">
        <f ca="1">IF(Dashboard!D15="","",INDEX(INDIRECT(INDEX(Calcs!$D:$D,MATCH(Dashboard!D15,Calcs!$A:$A,0))),13,6))</f>
        <v>58369</v>
      </c>
      <c r="I62" s="91" t="s">
        <v>117</v>
      </c>
      <c r="J62" s="105">
        <f ca="1">IF(Dashboard!D15="","",INDEX(INDIRECT(INDEX(Calcs!$D:$D,MATCH(Dashboard!D15,Calcs!$A:$A,0))),13,7))</f>
        <v>62011</v>
      </c>
      <c r="K62" s="16"/>
      <c r="L62" s="97" t="s">
        <v>118</v>
      </c>
      <c r="M62" s="106">
        <f ca="1">IF(Dashboard!D15="","",INDEX(INDIRECT(INDEX(Calcs!$D:$D,MATCH(Dashboard!D15,Calcs!$A:$A,0))),13,5))</f>
        <v>54790</v>
      </c>
      <c r="N62" s="91" t="s">
        <v>117</v>
      </c>
      <c r="O62" s="105">
        <f ca="1">IF(Dashboard!D15="","",INDEX(INDIRECT(INDEX(Calcs!$D:$D,MATCH(Dashboard!D15,Calcs!$A:$A,0))),13,6))</f>
        <v>58369</v>
      </c>
      <c r="P62" s="16"/>
      <c r="Q62" s="97"/>
      <c r="R62" s="91"/>
      <c r="S62" s="91"/>
      <c r="T62" s="90"/>
    </row>
    <row r="63" spans="2:20" ht="5.25" customHeight="1" x14ac:dyDescent="0.2">
      <c r="B63" s="41"/>
      <c r="D63" s="16"/>
      <c r="E63" s="16"/>
      <c r="F63" s="16"/>
      <c r="G63" s="16"/>
      <c r="H63" s="16"/>
      <c r="I63" s="16"/>
      <c r="J63" s="16"/>
      <c r="K63" s="16"/>
      <c r="L63" s="16"/>
      <c r="M63" s="16"/>
      <c r="N63" s="16"/>
      <c r="O63" s="16"/>
      <c r="P63" s="16"/>
      <c r="Q63" s="16"/>
      <c r="R63" s="16"/>
      <c r="S63" s="16"/>
      <c r="T63" s="16"/>
    </row>
    <row r="64" spans="2:20" ht="15.75" x14ac:dyDescent="0.25">
      <c r="B64" s="349" t="s">
        <v>34</v>
      </c>
      <c r="D64" s="85" t="s">
        <v>122</v>
      </c>
      <c r="E64" s="107">
        <f ca="1">IF(Dashboard!D15="","",INDEX(INDIRECT(INDEX(Calcs!$D:$D,MATCH(Dashboard!D15,Calcs!$A:$A,0))),9,7))</f>
        <v>0.16700000000000001</v>
      </c>
      <c r="F64" s="16"/>
      <c r="G64" s="85" t="s">
        <v>116</v>
      </c>
      <c r="H64" s="108">
        <f ca="1">IF(Dashboard!D15="","",INDEX(INDIRECT(INDEX(Calcs!$D:$D,MATCH(Dashboard!D15,Calcs!$A:$A,0))),9,6))</f>
        <v>0.14499999999999999</v>
      </c>
      <c r="I64" s="88" t="s">
        <v>117</v>
      </c>
      <c r="J64" s="107">
        <f ca="1">IF(Dashboard!D15="","",INDEX(INDIRECT(INDEX(Calcs!$D:$D,MATCH(Dashboard!D15,Calcs!$A:$A,0))),9,7))</f>
        <v>0.16700000000000001</v>
      </c>
      <c r="K64" s="16"/>
      <c r="L64" s="85" t="s">
        <v>116</v>
      </c>
      <c r="M64" s="108">
        <f ca="1">IF(Dashboard!D15="","",INDEX(INDIRECT(INDEX(Calcs!$D:$D,MATCH(Dashboard!D15,Calcs!$A:$A,0))),9,5))</f>
        <v>0.11700000000000001</v>
      </c>
      <c r="N64" s="88" t="s">
        <v>117</v>
      </c>
      <c r="O64" s="107">
        <f ca="1">IF(Dashboard!D15="","",INDEX(INDIRECT(INDEX(Calcs!$D:$D,MATCH(Dashboard!D15,Calcs!$A:$A,0))),9,6))</f>
        <v>0.14499999999999999</v>
      </c>
      <c r="P64" s="16"/>
      <c r="Q64" s="85" t="s">
        <v>116</v>
      </c>
      <c r="R64" s="108">
        <f ca="1">IF(Dashboard!D15="","",INDEX(INDIRECT(INDEX(Calcs!$D:$D,MATCH(Dashboard!D15,Calcs!$A:$A,0))),9,3))</f>
        <v>9.4E-2</v>
      </c>
      <c r="S64" s="88" t="s">
        <v>117</v>
      </c>
      <c r="T64" s="107">
        <f ca="1">IF(Dashboard!D15="","",INDEX(INDIRECT(INDEX(Calcs!$D:$D,MATCH(Dashboard!D15,Calcs!$A:$A,0))),9,5))</f>
        <v>0.11700000000000001</v>
      </c>
    </row>
    <row r="65" spans="2:20" ht="15.75" x14ac:dyDescent="0.25">
      <c r="B65" s="350"/>
      <c r="D65" s="97"/>
      <c r="E65" s="90"/>
      <c r="F65" s="16"/>
      <c r="G65" s="97"/>
      <c r="H65" s="91"/>
      <c r="I65" s="91"/>
      <c r="J65" s="90"/>
      <c r="K65" s="16"/>
      <c r="L65" s="97" t="s">
        <v>123</v>
      </c>
      <c r="M65" s="109">
        <f ca="1">IF(Dashboard!D15="","",INDEX(INDIRECT(INDEX(Calcs!$D:$D,MATCH(Dashboard!D15,Calcs!$A:$A,0))),9,3))</f>
        <v>9.4E-2</v>
      </c>
      <c r="N65" s="91"/>
      <c r="O65" s="90"/>
      <c r="P65" s="16"/>
      <c r="Q65" s="97"/>
      <c r="R65" s="91"/>
      <c r="S65" s="91"/>
      <c r="T65" s="90"/>
    </row>
    <row r="66" spans="2:20" ht="5.25" customHeight="1" x14ac:dyDescent="0.2">
      <c r="B66" s="41"/>
      <c r="D66" s="16"/>
      <c r="E66" s="16"/>
      <c r="F66" s="16"/>
      <c r="G66" s="16"/>
      <c r="H66" s="16"/>
      <c r="I66" s="16"/>
      <c r="J66" s="16"/>
      <c r="K66" s="16"/>
      <c r="L66" s="16"/>
      <c r="M66" s="16"/>
      <c r="N66" s="16"/>
      <c r="O66" s="16"/>
      <c r="P66" s="16"/>
      <c r="Q66" s="16"/>
      <c r="R66" s="16"/>
      <c r="S66" s="16"/>
      <c r="T66" s="16"/>
    </row>
    <row r="67" spans="2:20" ht="15.75" x14ac:dyDescent="0.25">
      <c r="B67" s="349" t="s">
        <v>4</v>
      </c>
      <c r="D67" s="85" t="s">
        <v>114</v>
      </c>
      <c r="E67" s="110">
        <f ca="1">IF(Dashboard!D15="","",INDEX(INDIRECT(INDEX(Calcs!$D:$D,MATCH(Dashboard!D15,Calcs!$A:$A,0))),10,1))</f>
        <v>16.5</v>
      </c>
      <c r="F67" s="16"/>
      <c r="G67" s="85" t="s">
        <v>116</v>
      </c>
      <c r="H67" s="111">
        <f ca="1">IF(Dashboard!D15="","",INDEX(INDIRECT(INDEX(Calcs!$D:$D,MATCH(Dashboard!D15,Calcs!$A:$A,0))),10,1))</f>
        <v>16.5</v>
      </c>
      <c r="I67" s="88" t="s">
        <v>117</v>
      </c>
      <c r="J67" s="110">
        <f ca="1">IF(Dashboard!D15="","",INDEX(INDIRECT(INDEX(Calcs!$D:$D,MATCH(Dashboard!D15,Calcs!$A:$A,0))),10,2))</f>
        <v>17.600000000000001</v>
      </c>
      <c r="K67" s="16"/>
      <c r="L67" s="85" t="s">
        <v>116</v>
      </c>
      <c r="M67" s="111">
        <f ca="1">IF(Dashboard!D15="","",INDEX(INDIRECT(INDEX(Calcs!$D:$D,MATCH(Dashboard!D15,Calcs!$A:$A,0))),10,2))</f>
        <v>17.600000000000001</v>
      </c>
      <c r="N67" s="88" t="s">
        <v>117</v>
      </c>
      <c r="O67" s="110">
        <f ca="1">IF(Dashboard!D15="","",INDEX(INDIRECT(INDEX(Calcs!$D:$D,MATCH(Dashboard!D15,Calcs!$A:$A,0))),10,3))</f>
        <v>19.200000000000003</v>
      </c>
      <c r="P67" s="16"/>
      <c r="Q67" s="85" t="s">
        <v>116</v>
      </c>
      <c r="R67" s="111">
        <f ca="1">IF(Dashboard!D15="","",INDEX(INDIRECT(INDEX(Calcs!$D:$D,MATCH(Dashboard!D15,Calcs!$A:$A,0))),10,3))</f>
        <v>19.200000000000003</v>
      </c>
      <c r="S67" s="88" t="s">
        <v>117</v>
      </c>
      <c r="T67" s="110">
        <f ca="1">IF(Dashboard!D15="","",INDEX(INDIRECT(INDEX(Calcs!$D:$D,MATCH(Dashboard!D15,Calcs!$A:$A,0))),10,5))</f>
        <v>20.8</v>
      </c>
    </row>
    <row r="68" spans="2:20" ht="15.75" x14ac:dyDescent="0.25">
      <c r="B68" s="350"/>
      <c r="D68" s="97" t="s">
        <v>119</v>
      </c>
      <c r="E68" s="112">
        <f ca="1">IF(Dashboard!D15="","",INDEX(INDIRECT(INDEX(Calcs!$D:$D,MATCH(Dashboard!D15,Calcs!$A:$A,0))),10,7))</f>
        <v>24</v>
      </c>
      <c r="F68" s="16"/>
      <c r="G68" s="97" t="s">
        <v>118</v>
      </c>
      <c r="H68" s="113">
        <f ca="1">IF(Dashboard!D15="","",INDEX(INDIRECT(INDEX(Calcs!$D:$D,MATCH(Dashboard!D15,Calcs!$A:$A,0))),10,6))</f>
        <v>22.400000000000002</v>
      </c>
      <c r="I68" s="91" t="s">
        <v>117</v>
      </c>
      <c r="J68" s="112">
        <f ca="1">IF(Dashboard!D15="","",INDEX(INDIRECT(INDEX(Calcs!$D:$D,MATCH(Dashboard!D15,Calcs!$A:$A,0))),10,7))</f>
        <v>24</v>
      </c>
      <c r="K68" s="16"/>
      <c r="L68" s="97" t="s">
        <v>118</v>
      </c>
      <c r="M68" s="113">
        <f ca="1">IF(Dashboard!D15="","",INDEX(INDIRECT(INDEX(Calcs!$D:$D,MATCH(Dashboard!D15,Calcs!$A:$A,0))),10,5))</f>
        <v>20.8</v>
      </c>
      <c r="N68" s="91" t="s">
        <v>117</v>
      </c>
      <c r="O68" s="112">
        <f ca="1">IF(Dashboard!D15="","",INDEX(INDIRECT(INDEX(Calcs!$D:$D,MATCH(Dashboard!D15,Calcs!$A:$A,0))),10,6))</f>
        <v>22.400000000000002</v>
      </c>
      <c r="P68" s="16"/>
      <c r="Q68" s="97"/>
      <c r="R68" s="91"/>
      <c r="S68" s="91"/>
      <c r="T68" s="90"/>
    </row>
    <row r="69" spans="2:20" ht="5.25" customHeight="1" x14ac:dyDescent="0.2">
      <c r="B69" s="41"/>
      <c r="D69" s="16"/>
      <c r="E69" s="114"/>
      <c r="F69" s="16"/>
      <c r="G69" s="16"/>
      <c r="H69" s="16"/>
      <c r="I69" s="16"/>
      <c r="J69" s="16"/>
      <c r="K69" s="16"/>
      <c r="L69" s="16"/>
      <c r="M69" s="16"/>
      <c r="N69" s="16"/>
      <c r="O69" s="16"/>
      <c r="P69" s="16"/>
      <c r="Q69" s="16"/>
      <c r="R69" s="16"/>
      <c r="S69" s="16"/>
      <c r="T69" s="16"/>
    </row>
    <row r="70" spans="2:20" ht="15.75" x14ac:dyDescent="0.25">
      <c r="B70" s="349" t="s">
        <v>14</v>
      </c>
      <c r="D70" s="85" t="s">
        <v>114</v>
      </c>
      <c r="E70" s="110">
        <f ca="1">IF(Dashboard!D15="","",INDEX(INDIRECT(INDEX(Calcs!$D:$D,MATCH(Dashboard!D15,Calcs!$A:$A,0))),11,1))</f>
        <v>7.1000000000000005</v>
      </c>
      <c r="F70" s="16"/>
      <c r="G70" s="85" t="s">
        <v>116</v>
      </c>
      <c r="H70" s="111">
        <f ca="1">IF(Dashboard!D15="","",INDEX(INDIRECT(INDEX(Calcs!$D:$D,MATCH(Dashboard!D15,Calcs!$A:$A,0))),11,1))</f>
        <v>7.1000000000000005</v>
      </c>
      <c r="I70" s="88" t="s">
        <v>117</v>
      </c>
      <c r="J70" s="110">
        <f ca="1">IF(Dashboard!D15="","",INDEX(INDIRECT(INDEX(Calcs!$D:$D,MATCH(Dashboard!D15,Calcs!$A:$A,0))),11,2))</f>
        <v>7.8000000000000007</v>
      </c>
      <c r="K70" s="16"/>
      <c r="L70" s="85" t="s">
        <v>116</v>
      </c>
      <c r="M70" s="111">
        <f ca="1">IF(Dashboard!D15="","",INDEX(INDIRECT(INDEX(Calcs!$D:$D,MATCH(Dashboard!D15,Calcs!$A:$A,0))),11,2))</f>
        <v>7.8000000000000007</v>
      </c>
      <c r="N70" s="88" t="s">
        <v>117</v>
      </c>
      <c r="O70" s="110">
        <f ca="1">IF(Dashboard!D15="","",INDEX(INDIRECT(INDEX(Calcs!$D:$D,MATCH(Dashboard!D15,Calcs!$A:$A,0))),11,3))</f>
        <v>8.7000000000000011</v>
      </c>
      <c r="P70" s="16"/>
      <c r="Q70" s="85" t="s">
        <v>116</v>
      </c>
      <c r="R70" s="111">
        <f ca="1">IF(Dashboard!D15="","",INDEX(INDIRECT(INDEX(Calcs!$D:$D,MATCH(Dashboard!D15,Calcs!$A:$A,0))),11,3))</f>
        <v>8.7000000000000011</v>
      </c>
      <c r="S70" s="88" t="s">
        <v>117</v>
      </c>
      <c r="T70" s="110">
        <f ca="1">IF(Dashboard!D15="","",INDEX(INDIRECT(INDEX(Calcs!$D:$D,MATCH(Dashboard!D15,Calcs!$A:$A,0))),11,5))</f>
        <v>9.5</v>
      </c>
    </row>
    <row r="71" spans="2:20" ht="15.75" x14ac:dyDescent="0.25">
      <c r="B71" s="350"/>
      <c r="D71" s="97" t="s">
        <v>119</v>
      </c>
      <c r="E71" s="112">
        <f ca="1">IF(Dashboard!D15="","",INDEX(INDIRECT(INDEX(Calcs!$D:$D,MATCH(Dashboard!D15,Calcs!$A:$A,0))),11,7))</f>
        <v>11.200000000000001</v>
      </c>
      <c r="F71" s="16"/>
      <c r="G71" s="97" t="s">
        <v>118</v>
      </c>
      <c r="H71" s="113">
        <f ca="1">IF(Dashboard!D15="","",INDEX(INDIRECT(INDEX(Calcs!$D:$D,MATCH(Dashboard!D15,Calcs!$A:$A,0))),11,6))</f>
        <v>10.3</v>
      </c>
      <c r="I71" s="91" t="s">
        <v>117</v>
      </c>
      <c r="J71" s="112">
        <f ca="1">IF(Dashboard!D15="","",INDEX(INDIRECT(INDEX(Calcs!$D:$D,MATCH(Dashboard!D15,Calcs!$A:$A,0))),11,7))</f>
        <v>11.200000000000001</v>
      </c>
      <c r="K71" s="16"/>
      <c r="L71" s="97" t="s">
        <v>118</v>
      </c>
      <c r="M71" s="113">
        <f ca="1">IF(Dashboard!D15="","",INDEX(INDIRECT(INDEX(Calcs!$D:$D,MATCH(Dashboard!D15,Calcs!$A:$A,0))),11,5))</f>
        <v>9.5</v>
      </c>
      <c r="N71" s="91" t="s">
        <v>117</v>
      </c>
      <c r="O71" s="112">
        <f ca="1">IF(Dashboard!D15="","",INDEX(INDIRECT(INDEX(Calcs!$D:$D,MATCH(Dashboard!D15,Calcs!$A:$A,0))),11,6))</f>
        <v>10.3</v>
      </c>
      <c r="P71" s="16"/>
      <c r="Q71" s="97"/>
      <c r="R71" s="91"/>
      <c r="S71" s="91"/>
      <c r="T71" s="90"/>
    </row>
    <row r="72" spans="2:20" ht="5.25" customHeight="1" x14ac:dyDescent="0.2">
      <c r="B72" s="41"/>
      <c r="D72" s="16"/>
      <c r="E72" s="114"/>
      <c r="F72" s="16"/>
      <c r="G72" s="16"/>
      <c r="H72" s="16"/>
      <c r="I72" s="16"/>
      <c r="J72" s="16"/>
      <c r="K72" s="16"/>
      <c r="L72" s="16"/>
      <c r="M72" s="16"/>
      <c r="N72" s="16"/>
      <c r="O72" s="16"/>
      <c r="P72" s="16"/>
      <c r="Q72" s="16"/>
      <c r="R72" s="16"/>
      <c r="S72" s="16"/>
      <c r="T72" s="16"/>
    </row>
    <row r="73" spans="2:20" ht="15.75" x14ac:dyDescent="0.25">
      <c r="B73" s="349" t="str">
        <f>IF(OR($B$3="- an alternative provision school",$B$3="- a special school",$B$3="- a nursery school"),"","Teacher contact ratio (less than 1.0)")</f>
        <v>Teacher contact ratio (less than 1.0)</v>
      </c>
      <c r="D73" s="85" t="str">
        <f>IF(B73="","","Less than or equal to")</f>
        <v>Less than or equal to</v>
      </c>
      <c r="E73" s="115">
        <f>IF(OR($B$3="- an alternative provision school",$B$3="- a special school",$B$3="- a nursery school",Dashboard!D15=""),"",0.7)</f>
        <v>0.7</v>
      </c>
      <c r="F73" s="98"/>
      <c r="G73" s="93" t="str">
        <f>IF(B73="","","Between")</f>
        <v>Between</v>
      </c>
      <c r="H73" s="116">
        <f>IF(OR($B$3="- an alternative provision school",$B$3="- a special school",$B$3="- a nursery school",Dashboard!D15=""),"",0.7)</f>
        <v>0.7</v>
      </c>
      <c r="I73" s="95" t="str">
        <f>IF(B73="","","and")</f>
        <v>and</v>
      </c>
      <c r="J73" s="115">
        <f>IF(OR($B$3="- an alternative provision school",$B$3="- a special school",$B$3="- a nursery school",Dashboard!D15=""),"",0.74)</f>
        <v>0.74</v>
      </c>
      <c r="K73" s="98"/>
      <c r="L73" s="93" t="str">
        <f>IF(B73="","","Between")</f>
        <v>Between</v>
      </c>
      <c r="M73" s="116">
        <f>IF(OR($B$3="- an alternative provision school",$B$3="- a special school",$B$3="- a nursery school",Dashboard!D15=""),"",0.74)</f>
        <v>0.74</v>
      </c>
      <c r="N73" s="95" t="str">
        <f>IF(G73="","","and")</f>
        <v>and</v>
      </c>
      <c r="O73" s="115">
        <f>IF(OR($B$3="- an alternative provision school",$B$3="- a special school",$B$3="- a nursery school",Dashboard!D15=""),"",0.8)</f>
        <v>0.8</v>
      </c>
      <c r="P73" s="16"/>
      <c r="Q73" s="85"/>
      <c r="R73" s="125"/>
      <c r="S73" s="88"/>
      <c r="T73" s="126"/>
    </row>
    <row r="74" spans="2:20" ht="15.75" x14ac:dyDescent="0.25">
      <c r="B74" s="350"/>
      <c r="D74" s="97" t="str">
        <f>IF(B73="","","Or more than")</f>
        <v>Or more than</v>
      </c>
      <c r="E74" s="117">
        <f>IF(OR($B$3="- an alternative provision school",$B$3="- a special school",$B$3="- a nursery school",Dashboard!D15=""),"",0.82)</f>
        <v>0.82</v>
      </c>
      <c r="F74" s="98"/>
      <c r="G74" s="100" t="str">
        <f>IF(B73="","","Or between")</f>
        <v>Or between</v>
      </c>
      <c r="H74" s="118">
        <f>IF(OR($B$3="- an alternative provision school",$B$3="- a special school",$B$3="- a nursery school",Dashboard!D15=""),"",0.8)</f>
        <v>0.8</v>
      </c>
      <c r="I74" s="101" t="str">
        <f>IF(B74="","","and")</f>
        <v/>
      </c>
      <c r="J74" s="117">
        <f>IF(OR($B$3="- an alternative provision school",$B$3="- a special school",$B$3="- a nursery school",Dashboard!D15=""),"",0.82)</f>
        <v>0.82</v>
      </c>
      <c r="K74" s="98"/>
      <c r="L74" s="100"/>
      <c r="M74" s="102"/>
      <c r="N74" s="101"/>
      <c r="O74" s="119"/>
      <c r="P74" s="16"/>
      <c r="Q74" s="97"/>
      <c r="R74" s="91"/>
      <c r="S74" s="91"/>
      <c r="T74" s="90"/>
    </row>
    <row r="75" spans="2:20" ht="5.25" customHeight="1" x14ac:dyDescent="0.2">
      <c r="B75" s="41"/>
      <c r="D75" s="16"/>
      <c r="E75" s="16"/>
      <c r="F75" s="16"/>
      <c r="G75" s="16"/>
      <c r="H75" s="16"/>
      <c r="I75" s="16"/>
      <c r="J75" s="16"/>
      <c r="K75" s="16"/>
      <c r="L75" s="16"/>
      <c r="M75" s="16"/>
      <c r="N75" s="16"/>
      <c r="O75" s="16"/>
      <c r="P75" s="16"/>
      <c r="Q75" s="16"/>
      <c r="R75" s="16"/>
      <c r="S75" s="16"/>
      <c r="T75" s="16"/>
    </row>
    <row r="76" spans="2:20" ht="15.75" x14ac:dyDescent="0.25">
      <c r="B76" s="349" t="s">
        <v>36</v>
      </c>
      <c r="D76" s="85" t="s">
        <v>114</v>
      </c>
      <c r="E76" s="107">
        <f>IF(Dashboard!D15="","",-0.1)</f>
        <v>-0.1</v>
      </c>
      <c r="F76" s="16"/>
      <c r="G76" s="85" t="s">
        <v>116</v>
      </c>
      <c r="H76" s="108">
        <f>IF(Dashboard!D15="","",-0.1)</f>
        <v>-0.1</v>
      </c>
      <c r="I76" s="88" t="s">
        <v>117</v>
      </c>
      <c r="J76" s="107">
        <f>IF(Dashboard!D15="","",-0.02)</f>
        <v>-0.02</v>
      </c>
      <c r="K76" s="16"/>
      <c r="L76" s="85" t="s">
        <v>122</v>
      </c>
      <c r="M76" s="108">
        <f>IF(Dashboard!D15="","",-0.02)</f>
        <v>-0.02</v>
      </c>
      <c r="N76" s="88"/>
      <c r="O76" s="120"/>
      <c r="P76" s="16"/>
      <c r="Q76" s="85"/>
      <c r="R76" s="88"/>
      <c r="S76" s="88"/>
      <c r="T76" s="120"/>
    </row>
    <row r="77" spans="2:20" x14ac:dyDescent="0.2">
      <c r="B77" s="350"/>
      <c r="D77" s="97"/>
      <c r="E77" s="90"/>
      <c r="F77" s="16"/>
      <c r="G77" s="97"/>
      <c r="H77" s="91"/>
      <c r="I77" s="91"/>
      <c r="J77" s="90"/>
      <c r="K77" s="16"/>
      <c r="L77" s="97"/>
      <c r="M77" s="91"/>
      <c r="N77" s="91"/>
      <c r="O77" s="90"/>
      <c r="P77" s="16"/>
      <c r="Q77" s="97"/>
      <c r="R77" s="91"/>
      <c r="S77" s="91"/>
      <c r="T77" s="90"/>
    </row>
    <row r="78" spans="2:20" ht="5.25" customHeight="1" x14ac:dyDescent="0.2">
      <c r="B78" s="41"/>
      <c r="D78" s="16"/>
      <c r="E78" s="16"/>
      <c r="F78" s="16"/>
      <c r="G78" s="16"/>
      <c r="H78" s="16"/>
      <c r="I78" s="16"/>
      <c r="J78" s="16"/>
      <c r="K78" s="16"/>
      <c r="L78" s="16"/>
      <c r="M78" s="16"/>
      <c r="N78" s="16"/>
      <c r="O78" s="16"/>
      <c r="P78" s="16"/>
      <c r="Q78" s="16"/>
      <c r="R78" s="16"/>
      <c r="S78" s="16"/>
      <c r="T78" s="16"/>
    </row>
    <row r="79" spans="2:20" ht="15.75" x14ac:dyDescent="0.25">
      <c r="B79" s="349" t="str">
        <f>IF(OR($B$3="- an alternative provision school",$B$3="- a special school",$B$3="- a nursery school"),"","Average class size")</f>
        <v>Average class size</v>
      </c>
      <c r="D79" s="85" t="str">
        <f>IF(B79="","","Less than or equal to")</f>
        <v>Less than or equal to</v>
      </c>
      <c r="E79" s="110">
        <f ca="1">IF(Dashboard!D15="","",INDEX(INDIRECT(INDEX(Calcs!$D:$D,MATCH(Dashboard!D15,Calcs!$A:$A,0))),12,1))</f>
        <v>21.5</v>
      </c>
      <c r="F79" s="16"/>
      <c r="G79" s="85" t="str">
        <f>IF(B79="","","Between")</f>
        <v>Between</v>
      </c>
      <c r="H79" s="111">
        <f ca="1">IF(Dashboard!D15="","",INDEX(INDIRECT(INDEX(Calcs!$D:$D,MATCH(Dashboard!D15,Calcs!$A:$A,0))),12,1))</f>
        <v>21.5</v>
      </c>
      <c r="I79" s="88" t="str">
        <f>IF(B79="","","and")</f>
        <v>and</v>
      </c>
      <c r="J79" s="110">
        <f ca="1">IF(Dashboard!D15="","",INDEX(INDIRECT(INDEX(Calcs!$D:$D,MATCH(Dashboard!D15,Calcs!$A:$A,0))),12,2))</f>
        <v>22.8</v>
      </c>
      <c r="K79" s="16"/>
      <c r="L79" s="85" t="str">
        <f>IF(B79="","","Between")</f>
        <v>Between</v>
      </c>
      <c r="M79" s="111">
        <f ca="1">IF(Dashboard!D15="","",INDEX(INDIRECT(INDEX(Calcs!$D:$D,MATCH(Dashboard!D15,Calcs!$A:$A,0))),12,2))</f>
        <v>22.8</v>
      </c>
      <c r="N79" s="88" t="str">
        <f>IF(B79="","","and")</f>
        <v>and</v>
      </c>
      <c r="O79" s="110">
        <f ca="1">IF(Dashboard!D15="","",INDEX(INDIRECT(INDEX(Calcs!$D:$D,MATCH(Dashboard!D15,Calcs!$A:$A,0))),12,3))</f>
        <v>24.8</v>
      </c>
      <c r="P79" s="16"/>
      <c r="Q79" s="85" t="str">
        <f>IF(B79="","","Between")</f>
        <v>Between</v>
      </c>
      <c r="R79" s="111">
        <f ca="1">IF(Dashboard!D15="","",INDEX(INDIRECT(INDEX(Calcs!$D:$D,MATCH(Dashboard!D15,Calcs!$A:$A,0))),12,3))</f>
        <v>24.8</v>
      </c>
      <c r="S79" s="88" t="str">
        <f>IF(B79="","","and")</f>
        <v>and</v>
      </c>
      <c r="T79" s="110">
        <f ca="1">IF(Dashboard!D15="","",INDEX(INDIRECT(INDEX(Calcs!$D:$D,MATCH(Dashboard!D15,Calcs!$A:$A,0))),12,5))</f>
        <v>26.3</v>
      </c>
    </row>
    <row r="80" spans="2:20" ht="15.75" x14ac:dyDescent="0.25">
      <c r="B80" s="350"/>
      <c r="D80" s="97" t="str">
        <f>IF(B79="","","Or more than")</f>
        <v>Or more than</v>
      </c>
      <c r="E80" s="112">
        <f ca="1">IF(Dashboard!D15="","",INDEX(INDIRECT(INDEX(Calcs!$D:$D,MATCH(Dashboard!D15,Calcs!$A:$A,0))),12,7))</f>
        <v>28.700000000000003</v>
      </c>
      <c r="F80" s="16"/>
      <c r="G80" s="97" t="str">
        <f>IF(B79="","","Or between")</f>
        <v>Or between</v>
      </c>
      <c r="H80" s="113">
        <f ca="1">IF(Dashboard!D15="","",INDEX(INDIRECT(INDEX(Calcs!$D:$D,MATCH(Dashboard!D15,Calcs!$A:$A,0))),12,6))</f>
        <v>27.8</v>
      </c>
      <c r="I80" s="91" t="str">
        <f>IF(B79="","","and")</f>
        <v>and</v>
      </c>
      <c r="J80" s="112">
        <f ca="1">IF(Dashboard!D15="","",INDEX(INDIRECT(INDEX(Calcs!$D:$D,MATCH(Dashboard!D15,Calcs!$A:$A,0))),12,7))</f>
        <v>28.700000000000003</v>
      </c>
      <c r="K80" s="16"/>
      <c r="L80" s="97" t="str">
        <f>IF(B79="","","Or between")</f>
        <v>Or between</v>
      </c>
      <c r="M80" s="113">
        <f ca="1">IF(Dashboard!D15="","",INDEX(INDIRECT(INDEX(Calcs!$D:$D,MATCH(Dashboard!D15,Calcs!$A:$A,0))),12,5))</f>
        <v>26.3</v>
      </c>
      <c r="N80" s="91" t="str">
        <f>IF(B79="","","and")</f>
        <v>and</v>
      </c>
      <c r="O80" s="112">
        <f ca="1">IF(Dashboard!D15="","",INDEX(INDIRECT(INDEX(Calcs!$D:$D,MATCH(Dashboard!D15,Calcs!$A:$A,0))),12,6))</f>
        <v>27.8</v>
      </c>
      <c r="P80" s="16"/>
      <c r="Q80" s="97"/>
      <c r="R80" s="91"/>
      <c r="S80" s="91"/>
      <c r="T80" s="90"/>
    </row>
    <row r="81" spans="2:20" ht="5.25" customHeight="1" x14ac:dyDescent="0.2">
      <c r="B81" s="40"/>
    </row>
    <row r="82" spans="2:20" ht="15" customHeight="1" x14ac:dyDescent="0.2">
      <c r="B82" s="40"/>
    </row>
    <row r="83" spans="2:20" ht="15.75" x14ac:dyDescent="0.2">
      <c r="B83" s="56" t="s">
        <v>54</v>
      </c>
      <c r="C83" s="56"/>
      <c r="D83" s="57"/>
      <c r="E83" s="57"/>
      <c r="F83" s="56"/>
      <c r="G83" s="57"/>
      <c r="H83" s="57"/>
      <c r="I83" s="57"/>
      <c r="J83" s="57"/>
      <c r="K83" s="56"/>
      <c r="L83" s="57"/>
      <c r="M83" s="57"/>
      <c r="N83" s="57"/>
      <c r="O83" s="57"/>
      <c r="P83" s="56"/>
      <c r="Q83" s="57"/>
      <c r="R83" s="57"/>
      <c r="S83" s="57"/>
      <c r="T83" s="57"/>
    </row>
    <row r="84" spans="2:20" ht="5.65" customHeight="1" x14ac:dyDescent="0.2">
      <c r="D84" s="48"/>
      <c r="E84" s="48"/>
      <c r="G84" s="48"/>
      <c r="H84" s="48"/>
      <c r="I84" s="48"/>
      <c r="J84" s="48"/>
      <c r="L84" s="48"/>
      <c r="M84" s="48"/>
      <c r="N84" s="48"/>
      <c r="O84" s="48"/>
      <c r="Q84" s="48"/>
      <c r="R84" s="48"/>
      <c r="S84" s="48"/>
      <c r="T84" s="48"/>
    </row>
    <row r="85" spans="2:20" x14ac:dyDescent="0.2">
      <c r="D85" s="351" t="s">
        <v>113</v>
      </c>
      <c r="E85" s="352"/>
      <c r="G85" s="353" t="s">
        <v>115</v>
      </c>
      <c r="H85" s="354"/>
      <c r="I85" s="354"/>
      <c r="J85" s="355"/>
      <c r="L85" s="356" t="s">
        <v>120</v>
      </c>
      <c r="M85" s="357"/>
      <c r="N85" s="357"/>
      <c r="O85" s="358"/>
      <c r="Q85" s="359" t="s">
        <v>121</v>
      </c>
      <c r="R85" s="360"/>
      <c r="S85" s="360"/>
      <c r="T85" s="361"/>
    </row>
    <row r="86" spans="2:20" ht="5.65" customHeight="1" x14ac:dyDescent="0.2">
      <c r="D86" s="48"/>
      <c r="E86" s="48"/>
      <c r="G86" s="48"/>
      <c r="H86" s="48"/>
      <c r="I86" s="48"/>
      <c r="J86" s="48"/>
      <c r="L86" s="48"/>
      <c r="M86" s="48"/>
      <c r="N86" s="48"/>
      <c r="O86" s="48"/>
      <c r="Q86" s="48"/>
      <c r="R86" s="48"/>
      <c r="S86" s="48"/>
      <c r="T86" s="48"/>
    </row>
    <row r="87" spans="2:20" ht="15" customHeight="1" x14ac:dyDescent="0.25">
      <c r="B87" s="349" t="s">
        <v>7</v>
      </c>
      <c r="D87" s="85" t="s">
        <v>129</v>
      </c>
      <c r="E87" s="86"/>
      <c r="F87" s="16"/>
      <c r="G87" s="85" t="s">
        <v>129</v>
      </c>
      <c r="H87" s="87"/>
      <c r="I87" s="88"/>
      <c r="J87" s="86"/>
      <c r="K87" s="16"/>
      <c r="L87" s="85" t="s">
        <v>129</v>
      </c>
      <c r="M87" s="87"/>
      <c r="N87" s="88"/>
      <c r="O87" s="86"/>
      <c r="P87" s="16"/>
      <c r="Q87" s="85" t="s">
        <v>129</v>
      </c>
      <c r="R87" s="87"/>
      <c r="S87" s="88"/>
      <c r="T87" s="126"/>
    </row>
    <row r="88" spans="2:20" ht="15.75" x14ac:dyDescent="0.25">
      <c r="B88" s="350"/>
      <c r="D88" s="89" t="str">
        <f>IF(Dashboard!D15="","","Inadequate")</f>
        <v>Inadequate</v>
      </c>
      <c r="E88" s="90"/>
      <c r="F88" s="16"/>
      <c r="G88" s="89" t="str">
        <f>IF(Dashboard!D15="","","Requires Improvement (RI)")</f>
        <v>Requires Improvement (RI)</v>
      </c>
      <c r="H88" s="91"/>
      <c r="I88" s="91"/>
      <c r="J88" s="90"/>
      <c r="K88" s="16"/>
      <c r="L88" s="89" t="str">
        <f>IF(Dashboard!D15="","","Good")</f>
        <v>Good</v>
      </c>
      <c r="M88" s="92"/>
      <c r="N88" s="91"/>
      <c r="O88" s="90"/>
      <c r="P88" s="16"/>
      <c r="Q88" s="89" t="str">
        <f>IF(Dashboard!D15="","","Outstanding")</f>
        <v>Outstanding</v>
      </c>
      <c r="R88" s="91"/>
      <c r="S88" s="91"/>
      <c r="T88" s="90"/>
    </row>
    <row r="89" spans="2:20" ht="5.25" customHeight="1" x14ac:dyDescent="0.2">
      <c r="B89" s="41"/>
      <c r="D89" s="16"/>
      <c r="E89" s="16"/>
      <c r="F89" s="16"/>
      <c r="G89" s="16"/>
      <c r="H89" s="16"/>
      <c r="I89" s="16"/>
      <c r="J89" s="16"/>
      <c r="K89" s="16"/>
      <c r="L89" s="16"/>
      <c r="M89" s="16"/>
      <c r="N89" s="16"/>
      <c r="O89" s="16"/>
      <c r="P89" s="16"/>
      <c r="Q89" s="16"/>
      <c r="R89" s="16"/>
      <c r="S89" s="16"/>
      <c r="T89" s="16"/>
    </row>
    <row r="90" spans="2:20" ht="15.75" x14ac:dyDescent="0.25">
      <c r="B90" s="349" t="str">
        <f>IF(OR($B$3="- a primary school",$B$3="- a nursery school"),"","Progress 8 score")</f>
        <v/>
      </c>
      <c r="D90" s="85" t="str">
        <f>IF(B90="","","Less than or equal to")</f>
        <v/>
      </c>
      <c r="E90" s="86" t="str">
        <f>IF(OR(Dashboard!D15="",B90=""),"",-0.5)</f>
        <v/>
      </c>
      <c r="F90" s="16"/>
      <c r="G90" s="93" t="str">
        <f>IF(B90="","","Between")</f>
        <v/>
      </c>
      <c r="H90" s="94" t="str">
        <f>IF(OR(Dashboard!D15="",B90=""),"",-0.5)</f>
        <v/>
      </c>
      <c r="I90" s="95" t="str">
        <f>IF(B90="","","and")</f>
        <v/>
      </c>
      <c r="J90" s="96" t="str">
        <f>IF(OR(Dashboard!D15="",B90=""),"",0)</f>
        <v/>
      </c>
      <c r="K90" s="16"/>
      <c r="L90" s="93" t="str">
        <f>IF(B90="","","Between")</f>
        <v/>
      </c>
      <c r="M90" s="94" t="str">
        <f>IF(OR(Dashboard!D15="",B90=""),"",0)</f>
        <v/>
      </c>
      <c r="N90" s="95" t="str">
        <f>IF(B90="","","and")</f>
        <v/>
      </c>
      <c r="O90" s="96" t="str">
        <f>IF(OR(Dashboard!D15="",B90=""),"",0.5)</f>
        <v/>
      </c>
      <c r="P90" s="16"/>
      <c r="Q90" s="93" t="str">
        <f>IF(B90="","","More than")</f>
        <v/>
      </c>
      <c r="R90" s="94" t="str">
        <f>IF(OR(Dashboard!D15="",B90=""),"",0.5)</f>
        <v/>
      </c>
      <c r="S90" s="88"/>
      <c r="T90" s="126"/>
    </row>
    <row r="91" spans="2:20" ht="15.75" x14ac:dyDescent="0.25">
      <c r="B91" s="350"/>
      <c r="D91" s="97"/>
      <c r="E91" s="90"/>
      <c r="F91" s="16"/>
      <c r="G91" s="97"/>
      <c r="H91" s="91"/>
      <c r="I91" s="91"/>
      <c r="J91" s="90"/>
      <c r="K91" s="16"/>
      <c r="L91" s="97"/>
      <c r="M91" s="92"/>
      <c r="N91" s="91"/>
      <c r="O91" s="90"/>
      <c r="P91" s="16"/>
      <c r="Q91" s="97"/>
      <c r="R91" s="91"/>
      <c r="S91" s="91"/>
      <c r="T91" s="90"/>
    </row>
    <row r="92" spans="2:20" ht="5.25" customHeight="1" x14ac:dyDescent="0.2">
      <c r="B92" s="41"/>
      <c r="D92" s="16"/>
      <c r="E92" s="16"/>
      <c r="F92" s="16"/>
      <c r="G92" s="16"/>
      <c r="H92" s="16"/>
      <c r="I92" s="16"/>
      <c r="J92" s="16"/>
      <c r="K92" s="16"/>
      <c r="L92" s="16"/>
      <c r="M92" s="16"/>
      <c r="N92" s="16"/>
      <c r="O92" s="16"/>
      <c r="P92" s="16"/>
      <c r="Q92" s="16"/>
      <c r="R92" s="16"/>
      <c r="S92" s="16"/>
      <c r="T92" s="16"/>
    </row>
    <row r="93" spans="2:20" ht="15.75" x14ac:dyDescent="0.25">
      <c r="B93" s="349" t="str">
        <f>IF(OR($B$3="- a secondary school with a sixth form", $B$3="- a secondary school without a sixth form",$B$3="- a nursery school"),"","Progress score in reading")</f>
        <v>Progress score in reading</v>
      </c>
      <c r="D93" s="85" t="str">
        <f>IF(B93="","","Less than or equal to")</f>
        <v>Less than or equal to</v>
      </c>
      <c r="E93" s="96">
        <f>IF(OR(Dashboard!D15="",B93=""),"",-2.7)</f>
        <v>-2.7</v>
      </c>
      <c r="F93" s="16"/>
      <c r="G93" s="93" t="str">
        <f>IF(B93="","","Between")</f>
        <v>Between</v>
      </c>
      <c r="H93" s="94">
        <f>IF(OR(Dashboard!D15="",B93=""),"",-2.7)</f>
        <v>-2.7</v>
      </c>
      <c r="I93" s="95" t="str">
        <f>IF(B93="","","and")</f>
        <v>and</v>
      </c>
      <c r="J93" s="96">
        <f>IF(OR(Dashboard!D15="",B93=""),"",0)</f>
        <v>0</v>
      </c>
      <c r="K93" s="98"/>
      <c r="L93" s="93" t="str">
        <f>IF(B93="","","Between")</f>
        <v>Between</v>
      </c>
      <c r="M93" s="94">
        <f>IF(OR(Dashboard!D15="",B93=""),"",0)</f>
        <v>0</v>
      </c>
      <c r="N93" s="95" t="str">
        <f>IF(B93="","","and")</f>
        <v>and</v>
      </c>
      <c r="O93" s="96">
        <f>IF(OR(Dashboard!D15="",B93=""),"",3.2)</f>
        <v>3.2</v>
      </c>
      <c r="P93" s="98"/>
      <c r="Q93" s="93" t="str">
        <f>IF(B93="","","More than")</f>
        <v>More than</v>
      </c>
      <c r="R93" s="94">
        <f>IF(OR(Dashboard!D15="",B93=""),"",3.2)</f>
        <v>3.2</v>
      </c>
      <c r="S93" s="88"/>
      <c r="T93" s="126"/>
    </row>
    <row r="94" spans="2:20" ht="15.75" x14ac:dyDescent="0.25">
      <c r="B94" s="350"/>
      <c r="D94" s="97"/>
      <c r="E94" s="99"/>
      <c r="F94" s="16"/>
      <c r="G94" s="100"/>
      <c r="H94" s="91"/>
      <c r="I94" s="101"/>
      <c r="J94" s="90"/>
      <c r="K94" s="16"/>
      <c r="L94" s="100"/>
      <c r="M94" s="92"/>
      <c r="N94" s="101"/>
      <c r="O94" s="90"/>
      <c r="P94" s="16"/>
      <c r="Q94" s="100"/>
      <c r="R94" s="91"/>
      <c r="S94" s="91"/>
      <c r="T94" s="90"/>
    </row>
    <row r="95" spans="2:20" ht="5.25" customHeight="1" x14ac:dyDescent="0.2">
      <c r="B95" s="41"/>
      <c r="D95" s="16"/>
      <c r="E95" s="98"/>
      <c r="F95" s="16"/>
      <c r="G95" s="98"/>
      <c r="H95" s="98"/>
      <c r="I95" s="98"/>
      <c r="J95" s="98"/>
      <c r="K95" s="98"/>
      <c r="L95" s="98"/>
      <c r="M95" s="98"/>
      <c r="N95" s="98"/>
      <c r="O95" s="98"/>
      <c r="P95" s="98"/>
      <c r="Q95" s="98"/>
      <c r="R95" s="98"/>
      <c r="S95" s="98"/>
      <c r="T95" s="16"/>
    </row>
    <row r="96" spans="2:20" ht="15.75" x14ac:dyDescent="0.25">
      <c r="B96" s="349" t="str">
        <f>IF(OR($B$3="- a secondary school with a sixth form", $B$3="- a secondary school without a sixth form",$B$3="- a nursery school"),"","Progress score in writing")</f>
        <v>Progress score in writing</v>
      </c>
      <c r="D96" s="85" t="str">
        <f>IF(B96="","","Less than or equal to")</f>
        <v>Less than or equal to</v>
      </c>
      <c r="E96" s="96">
        <f>IF(OR(Dashboard!D15="",B96=""),"",-2.6)</f>
        <v>-2.6</v>
      </c>
      <c r="F96" s="16"/>
      <c r="G96" s="93" t="str">
        <f>IF(B96="","","Between")</f>
        <v>Between</v>
      </c>
      <c r="H96" s="94">
        <f>IF(OR(Dashboard!D15="",B96=""),"",-2.6)</f>
        <v>-2.6</v>
      </c>
      <c r="I96" s="95" t="str">
        <f>IF(B96="","","and")</f>
        <v>and</v>
      </c>
      <c r="J96" s="96">
        <f>IF(OR(Dashboard!D15="",B96=""),"",0)</f>
        <v>0</v>
      </c>
      <c r="K96" s="98"/>
      <c r="L96" s="93" t="str">
        <f>IF(B96="","","Between")</f>
        <v>Between</v>
      </c>
      <c r="M96" s="94">
        <f>IF(OR(Dashboard!D15="",B96=""),"",0)</f>
        <v>0</v>
      </c>
      <c r="N96" s="95" t="str">
        <f>IF(B96="","","and")</f>
        <v>and</v>
      </c>
      <c r="O96" s="96">
        <f>IF(OR(Dashboard!D15="",B96=""),"",2.7)</f>
        <v>2.7</v>
      </c>
      <c r="P96" s="98"/>
      <c r="Q96" s="93" t="str">
        <f>IF(B96="","","More than")</f>
        <v>More than</v>
      </c>
      <c r="R96" s="94">
        <f>IF(OR(Dashboard!D15="",B96=""),"",2.7)</f>
        <v>2.7</v>
      </c>
      <c r="S96" s="95"/>
      <c r="T96" s="126"/>
    </row>
    <row r="97" spans="2:20" ht="15.75" x14ac:dyDescent="0.25">
      <c r="B97" s="350"/>
      <c r="D97" s="97"/>
      <c r="E97" s="99"/>
      <c r="F97" s="16"/>
      <c r="G97" s="100"/>
      <c r="H97" s="101"/>
      <c r="I97" s="101"/>
      <c r="J97" s="99"/>
      <c r="K97" s="98"/>
      <c r="L97" s="100"/>
      <c r="M97" s="102"/>
      <c r="N97" s="101"/>
      <c r="O97" s="99"/>
      <c r="P97" s="98"/>
      <c r="Q97" s="100"/>
      <c r="R97" s="101"/>
      <c r="S97" s="101"/>
      <c r="T97" s="90"/>
    </row>
    <row r="98" spans="2:20" ht="5.25" customHeight="1" x14ac:dyDescent="0.2">
      <c r="B98" s="41"/>
      <c r="D98" s="16"/>
      <c r="E98" s="98"/>
      <c r="F98" s="16"/>
      <c r="G98" s="98"/>
      <c r="H98" s="98"/>
      <c r="I98" s="98"/>
      <c r="J98" s="98"/>
      <c r="K98" s="98"/>
      <c r="L98" s="98"/>
      <c r="M98" s="98"/>
      <c r="N98" s="98"/>
      <c r="O98" s="98"/>
      <c r="P98" s="98"/>
      <c r="Q98" s="98"/>
      <c r="R98" s="98"/>
      <c r="S98" s="98"/>
      <c r="T98" s="16"/>
    </row>
    <row r="99" spans="2:20" ht="15.75" x14ac:dyDescent="0.25">
      <c r="B99" s="349" t="str">
        <f>IF(OR($B$3="- a secondary school with a sixth form", $B$3="- a secondary school without a sixth form",$B$3="- a nursery school"),"","Progress score in maths")</f>
        <v>Progress score in maths</v>
      </c>
      <c r="D99" s="85" t="str">
        <f>IF(B99="","","Less than or equal to")</f>
        <v>Less than or equal to</v>
      </c>
      <c r="E99" s="96">
        <f>IF(OR(Dashboard!D15="",B99=""),"",-3.1)</f>
        <v>-3.1</v>
      </c>
      <c r="F99" s="16"/>
      <c r="G99" s="93" t="str">
        <f>IF(B99="","","Between")</f>
        <v>Between</v>
      </c>
      <c r="H99" s="94">
        <f>IF(OR(Dashboard!D15="",B99=""),"",-3.1)</f>
        <v>-3.1</v>
      </c>
      <c r="I99" s="95" t="str">
        <f>IF(B99="","","and")</f>
        <v>and</v>
      </c>
      <c r="J99" s="96">
        <f>IF(OR(Dashboard!D15="",B99=""),"",0)</f>
        <v>0</v>
      </c>
      <c r="K99" s="98"/>
      <c r="L99" s="93" t="str">
        <f>IF(B99="","","Between")</f>
        <v>Between</v>
      </c>
      <c r="M99" s="94">
        <f>IF(OR(Dashboard!D15="",B99=""),"",0)</f>
        <v>0</v>
      </c>
      <c r="N99" s="95" t="str">
        <f>IF(B99="","","and")</f>
        <v>and</v>
      </c>
      <c r="O99" s="96">
        <f>IF(OR(Dashboard!D15="",B99=""),"",3.2)</f>
        <v>3.2</v>
      </c>
      <c r="P99" s="98"/>
      <c r="Q99" s="93" t="str">
        <f>IF(B99="","","More than")</f>
        <v>More than</v>
      </c>
      <c r="R99" s="94">
        <f>IF(OR(Dashboard!D15="",B99=""),"",3.2)</f>
        <v>3.2</v>
      </c>
      <c r="S99" s="95"/>
      <c r="T99" s="126"/>
    </row>
    <row r="100" spans="2:20" ht="15.75" x14ac:dyDescent="0.25">
      <c r="B100" s="350"/>
      <c r="D100" s="97"/>
      <c r="E100" s="90"/>
      <c r="F100" s="16"/>
      <c r="G100" s="100"/>
      <c r="H100" s="91"/>
      <c r="I100" s="101"/>
      <c r="J100" s="90"/>
      <c r="K100" s="16"/>
      <c r="L100" s="100"/>
      <c r="M100" s="92"/>
      <c r="N100" s="101"/>
      <c r="O100" s="90"/>
      <c r="P100" s="16"/>
      <c r="Q100" s="100"/>
      <c r="R100" s="91"/>
      <c r="S100" s="91"/>
      <c r="T100" s="90"/>
    </row>
    <row r="101" spans="2:20" x14ac:dyDescent="0.2"/>
    <row r="102" spans="2:20" x14ac:dyDescent="0.2"/>
    <row r="103" spans="2:20" x14ac:dyDescent="0.2"/>
    <row r="104" spans="2:20" x14ac:dyDescent="0.2"/>
    <row r="105" spans="2:20" x14ac:dyDescent="0.2"/>
    <row r="106" spans="2:20" x14ac:dyDescent="0.2"/>
    <row r="107" spans="2:20" x14ac:dyDescent="0.2"/>
    <row r="108" spans="2:20" x14ac:dyDescent="0.2"/>
    <row r="109" spans="2:20" x14ac:dyDescent="0.2"/>
    <row r="110" spans="2:20" x14ac:dyDescent="0.2"/>
  </sheetData>
  <sheetProtection algorithmName="SHA-512" hashValue="BFWo9sDZLz0xAMdCSGrjXwcfQFsfizVWDz5BdgxescpNIyzbfFKyHAt56Adq4XgOzlxs0btH/FSnnhPv29yboA==" saltValue="ErZEJNsHP9j7ggo7BtPv3w==" spinCount="100000" sheet="1" formatColumns="0" formatRows="0" insertColumns="0" insertRows="0"/>
  <mergeCells count="39">
    <mergeCell ref="G19:J19"/>
    <mergeCell ref="L19:O19"/>
    <mergeCell ref="Q19:T19"/>
    <mergeCell ref="B24:B25"/>
    <mergeCell ref="B27:B28"/>
    <mergeCell ref="B30:B31"/>
    <mergeCell ref="B33:B34"/>
    <mergeCell ref="B21:B22"/>
    <mergeCell ref="D19:E19"/>
    <mergeCell ref="B36:B37"/>
    <mergeCell ref="B39:B40"/>
    <mergeCell ref="B42:B43"/>
    <mergeCell ref="D48:E48"/>
    <mergeCell ref="G48:J48"/>
    <mergeCell ref="L48:O48"/>
    <mergeCell ref="B70:B71"/>
    <mergeCell ref="Q48:T48"/>
    <mergeCell ref="B50:B51"/>
    <mergeCell ref="B53:B54"/>
    <mergeCell ref="D59:E59"/>
    <mergeCell ref="G59:J59"/>
    <mergeCell ref="L59:O59"/>
    <mergeCell ref="Q59:T59"/>
    <mergeCell ref="H2:T15"/>
    <mergeCell ref="B90:B91"/>
    <mergeCell ref="B93:B94"/>
    <mergeCell ref="B96:B97"/>
    <mergeCell ref="B99:B100"/>
    <mergeCell ref="B76:B77"/>
    <mergeCell ref="B79:B80"/>
    <mergeCell ref="B87:B88"/>
    <mergeCell ref="D85:E85"/>
    <mergeCell ref="G85:J85"/>
    <mergeCell ref="L85:O85"/>
    <mergeCell ref="Q85:T85"/>
    <mergeCell ref="B61:B62"/>
    <mergeCell ref="B64:B65"/>
    <mergeCell ref="B67:B68"/>
    <mergeCell ref="B73:B74"/>
  </mergeCells>
  <conditionalFormatting sqref="B90:T91">
    <cfRule type="expression" dxfId="3" priority="4">
      <formula>$B$90=""</formula>
    </cfRule>
  </conditionalFormatting>
  <conditionalFormatting sqref="B93:T100">
    <cfRule type="expression" dxfId="2" priority="3">
      <formula>$B$93=""</formula>
    </cfRule>
  </conditionalFormatting>
  <conditionalFormatting sqref="B79:T80">
    <cfRule type="expression" dxfId="1" priority="2">
      <formula>$B$79=""</formula>
    </cfRule>
  </conditionalFormatting>
  <conditionalFormatting sqref="B73:T74">
    <cfRule type="expression" dxfId="0" priority="1">
      <formula>$B$73=""</formula>
    </cfRule>
  </conditionalFormatting>
  <pageMargins left="0.7" right="0.7" top="0.75" bottom="0.75" header="0.3" footer="0.3"/>
  <pageSetup paperSize="9"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0" tint="-0.499984740745262"/>
    <pageSetUpPr fitToPage="1"/>
  </sheetPr>
  <dimension ref="A1:R764"/>
  <sheetViews>
    <sheetView showGridLines="0" topLeftCell="B547" zoomScale="80" zoomScaleNormal="80" workbookViewId="0">
      <selection activeCell="I569" sqref="I569"/>
    </sheetView>
  </sheetViews>
  <sheetFormatPr defaultColWidth="0" defaultRowHeight="15" zeroHeight="1" outlineLevelRow="1" x14ac:dyDescent="0.2"/>
  <cols>
    <col min="1" max="1" width="10.140625" style="59" hidden="1" customWidth="1"/>
    <col min="2" max="2" width="30.140625" style="59" customWidth="1"/>
    <col min="3" max="3" width="13" style="59" customWidth="1"/>
    <col min="4" max="4" width="15" style="59" customWidth="1"/>
    <col min="5" max="5" width="77.85546875" style="39" bestFit="1" customWidth="1"/>
    <col min="6" max="7" width="9" style="39" customWidth="1"/>
    <col min="8" max="8" width="9.5703125" style="39" customWidth="1"/>
    <col min="9" max="9" width="9.85546875" style="39" customWidth="1"/>
    <col min="10" max="10" width="9" style="39" customWidth="1"/>
    <col min="11" max="12" width="9.5703125" style="39" customWidth="1"/>
    <col min="13" max="18" width="9" style="39" customWidth="1"/>
    <col min="19" max="16384" width="9" style="39" hidden="1"/>
  </cols>
  <sheetData>
    <row r="1" spans="1:14" ht="15.75" x14ac:dyDescent="0.25">
      <c r="B1" s="60" t="s">
        <v>174</v>
      </c>
    </row>
    <row r="2" spans="1:14" s="61" customFormat="1" x14ac:dyDescent="0.2"/>
    <row r="3" spans="1:14" s="63" customFormat="1" ht="60" x14ac:dyDescent="0.25">
      <c r="A3" s="62" t="s">
        <v>145</v>
      </c>
      <c r="B3" s="62" t="s">
        <v>16</v>
      </c>
      <c r="C3" s="62" t="s">
        <v>128</v>
      </c>
      <c r="D3" s="62" t="s">
        <v>20</v>
      </c>
      <c r="F3" s="64" t="s">
        <v>148</v>
      </c>
      <c r="G3" s="64" t="s">
        <v>149</v>
      </c>
      <c r="H3" s="64" t="s">
        <v>150</v>
      </c>
      <c r="I3" s="64" t="s">
        <v>155</v>
      </c>
      <c r="J3" s="64" t="s">
        <v>154</v>
      </c>
      <c r="K3" s="64" t="s">
        <v>151</v>
      </c>
      <c r="L3" s="64" t="s">
        <v>152</v>
      </c>
      <c r="N3" s="63" t="s">
        <v>153</v>
      </c>
    </row>
    <row r="4" spans="1:14" x14ac:dyDescent="0.2">
      <c r="A4" s="59">
        <v>726</v>
      </c>
      <c r="B4" s="39" t="s">
        <v>21</v>
      </c>
      <c r="C4" s="39" t="s">
        <v>135</v>
      </c>
      <c r="D4" s="39" t="s">
        <v>136</v>
      </c>
      <c r="E4" s="153" t="s">
        <v>175</v>
      </c>
    </row>
    <row r="5" spans="1:14" outlineLevel="1" x14ac:dyDescent="0.2">
      <c r="B5" s="61" t="s">
        <v>21</v>
      </c>
      <c r="C5" s="61" t="s">
        <v>135</v>
      </c>
      <c r="D5" s="61" t="s">
        <v>136</v>
      </c>
      <c r="E5" s="65" t="s">
        <v>338</v>
      </c>
      <c r="F5" s="66">
        <v>0.378</v>
      </c>
      <c r="G5" s="67">
        <v>0.40900000000000003</v>
      </c>
      <c r="H5" s="68">
        <v>0.44400000000000001</v>
      </c>
      <c r="I5" s="69">
        <v>0.46</v>
      </c>
      <c r="J5" s="68">
        <v>0.47600000000000003</v>
      </c>
      <c r="K5" s="67">
        <v>0.50700000000000001</v>
      </c>
      <c r="L5" s="66">
        <v>0.53200000000000003</v>
      </c>
    </row>
    <row r="6" spans="1:14" outlineLevel="1" x14ac:dyDescent="0.2">
      <c r="B6" s="61" t="s">
        <v>21</v>
      </c>
      <c r="C6" s="61" t="s">
        <v>135</v>
      </c>
      <c r="D6" s="61" t="s">
        <v>136</v>
      </c>
      <c r="E6" s="65" t="s">
        <v>339</v>
      </c>
      <c r="F6" s="66">
        <v>0.39</v>
      </c>
      <c r="G6" s="67">
        <v>0.42099999999999999</v>
      </c>
      <c r="H6" s="68">
        <v>0.45700000000000002</v>
      </c>
      <c r="I6" s="69">
        <v>0.47200000000000003</v>
      </c>
      <c r="J6" s="68">
        <v>0.48799999999999999</v>
      </c>
      <c r="K6" s="67">
        <v>0.52</v>
      </c>
      <c r="L6" s="66">
        <v>0.54400000000000004</v>
      </c>
    </row>
    <row r="7" spans="1:14" outlineLevel="1" x14ac:dyDescent="0.2">
      <c r="B7" s="61" t="s">
        <v>21</v>
      </c>
      <c r="C7" s="61" t="s">
        <v>135</v>
      </c>
      <c r="D7" s="61" t="s">
        <v>136</v>
      </c>
      <c r="E7" s="65" t="s">
        <v>351</v>
      </c>
      <c r="F7" s="66">
        <v>0.40200000000000002</v>
      </c>
      <c r="G7" s="67">
        <v>0.433</v>
      </c>
      <c r="H7" s="68">
        <v>0.46900000000000003</v>
      </c>
      <c r="I7" s="69">
        <v>0.48499999999999999</v>
      </c>
      <c r="J7" s="68">
        <v>0.501</v>
      </c>
      <c r="K7" s="67">
        <v>0.53200000000000003</v>
      </c>
      <c r="L7" s="66">
        <v>0.55700000000000005</v>
      </c>
    </row>
    <row r="8" spans="1:14" outlineLevel="1" x14ac:dyDescent="0.2">
      <c r="B8" s="61" t="s">
        <v>21</v>
      </c>
      <c r="C8" s="61" t="s">
        <v>135</v>
      </c>
      <c r="D8" s="61" t="s">
        <v>136</v>
      </c>
      <c r="E8" s="65" t="s">
        <v>352</v>
      </c>
      <c r="F8" s="66">
        <v>0.40500000000000003</v>
      </c>
      <c r="G8" s="67">
        <v>0.436</v>
      </c>
      <c r="H8" s="68">
        <v>0.47200000000000003</v>
      </c>
      <c r="I8" s="69">
        <v>0.48799999999999999</v>
      </c>
      <c r="J8" s="68">
        <v>0.504</v>
      </c>
      <c r="K8" s="67">
        <v>0.53600000000000003</v>
      </c>
      <c r="L8" s="66">
        <v>0.56000000000000005</v>
      </c>
    </row>
    <row r="9" spans="1:14" outlineLevel="1" x14ac:dyDescent="0.2">
      <c r="B9" s="61" t="s">
        <v>21</v>
      </c>
      <c r="C9" s="61" t="s">
        <v>135</v>
      </c>
      <c r="D9" s="61" t="s">
        <v>136</v>
      </c>
      <c r="E9" s="65" t="s">
        <v>104</v>
      </c>
      <c r="F9" s="69"/>
      <c r="G9" s="69"/>
      <c r="H9" s="68">
        <v>1.6E-2</v>
      </c>
      <c r="I9" s="69">
        <v>0.02</v>
      </c>
      <c r="J9" s="68">
        <v>2.5000000000000001E-2</v>
      </c>
      <c r="K9" s="67">
        <v>4.1000000000000002E-2</v>
      </c>
      <c r="L9" s="66">
        <v>5.8000000000000003E-2</v>
      </c>
    </row>
    <row r="10" spans="1:14" outlineLevel="1" x14ac:dyDescent="0.2">
      <c r="B10" s="61" t="s">
        <v>21</v>
      </c>
      <c r="C10" s="61" t="s">
        <v>135</v>
      </c>
      <c r="D10" s="61" t="s">
        <v>136</v>
      </c>
      <c r="E10" s="65" t="s">
        <v>105</v>
      </c>
      <c r="F10" s="69"/>
      <c r="G10" s="69"/>
      <c r="H10" s="68">
        <v>0.124</v>
      </c>
      <c r="I10" s="69">
        <v>0.13600000000000001</v>
      </c>
      <c r="J10" s="68">
        <v>0.14499999999999999</v>
      </c>
      <c r="K10" s="67">
        <v>0.17100000000000001</v>
      </c>
      <c r="L10" s="66">
        <v>0.193</v>
      </c>
    </row>
    <row r="11" spans="1:14" outlineLevel="1" x14ac:dyDescent="0.2">
      <c r="B11" s="61" t="s">
        <v>21</v>
      </c>
      <c r="C11" s="61" t="s">
        <v>135</v>
      </c>
      <c r="D11" s="61" t="s">
        <v>136</v>
      </c>
      <c r="E11" s="65" t="s">
        <v>106</v>
      </c>
      <c r="F11" s="69"/>
      <c r="G11" s="69"/>
      <c r="H11" s="69"/>
      <c r="I11" s="69">
        <v>1.9E-2</v>
      </c>
      <c r="J11" s="69"/>
      <c r="K11" s="67">
        <v>0.04</v>
      </c>
      <c r="L11" s="66">
        <v>7.0000000000000007E-2</v>
      </c>
    </row>
    <row r="12" spans="1:14" outlineLevel="1" x14ac:dyDescent="0.2">
      <c r="B12" s="61" t="s">
        <v>21</v>
      </c>
      <c r="C12" s="61" t="s">
        <v>135</v>
      </c>
      <c r="D12" s="61" t="s">
        <v>136</v>
      </c>
      <c r="E12" s="65" t="s">
        <v>107</v>
      </c>
      <c r="F12" s="69"/>
      <c r="G12" s="69"/>
      <c r="H12" s="69"/>
      <c r="I12" s="69">
        <v>3.1E-2</v>
      </c>
      <c r="J12" s="69"/>
      <c r="K12" s="67">
        <v>5.1000000000000004E-2</v>
      </c>
      <c r="L12" s="66">
        <v>6.6000000000000003E-2</v>
      </c>
    </row>
    <row r="13" spans="1:14" outlineLevel="1" x14ac:dyDescent="0.2">
      <c r="B13" s="61" t="s">
        <v>21</v>
      </c>
      <c r="C13" s="61" t="s">
        <v>135</v>
      </c>
      <c r="D13" s="61" t="s">
        <v>136</v>
      </c>
      <c r="E13" s="65" t="s">
        <v>108</v>
      </c>
      <c r="F13" s="69"/>
      <c r="G13" s="69"/>
      <c r="H13" s="69"/>
      <c r="I13" s="69">
        <v>8.5000000000000006E-2</v>
      </c>
      <c r="J13" s="69"/>
      <c r="K13" s="67">
        <v>0.112</v>
      </c>
      <c r="L13" s="66">
        <v>0.127</v>
      </c>
    </row>
    <row r="14" spans="1:14" outlineLevel="1" x14ac:dyDescent="0.2">
      <c r="B14" s="61" t="s">
        <v>21</v>
      </c>
      <c r="C14" s="61" t="s">
        <v>135</v>
      </c>
      <c r="D14" s="61" t="s">
        <v>136</v>
      </c>
      <c r="E14" s="65" t="s">
        <v>109</v>
      </c>
      <c r="F14" s="66">
        <v>3.3000000000000002E-2</v>
      </c>
      <c r="G14" s="67">
        <v>4.1000000000000002E-2</v>
      </c>
      <c r="H14" s="68">
        <v>5.2999999999999999E-2</v>
      </c>
      <c r="I14" s="69">
        <v>0.06</v>
      </c>
      <c r="J14" s="68">
        <v>6.7000000000000004E-2</v>
      </c>
      <c r="K14" s="69"/>
      <c r="L14" s="69"/>
    </row>
    <row r="15" spans="1:14" outlineLevel="1" x14ac:dyDescent="0.2">
      <c r="B15" s="61" t="s">
        <v>21</v>
      </c>
      <c r="C15" s="61" t="s">
        <v>135</v>
      </c>
      <c r="D15" s="61" t="s">
        <v>136</v>
      </c>
      <c r="E15" s="70" t="s">
        <v>110</v>
      </c>
      <c r="F15" s="69"/>
      <c r="G15" s="69"/>
      <c r="H15" s="69"/>
      <c r="I15" s="69">
        <v>1.4E-2</v>
      </c>
      <c r="J15" s="69"/>
      <c r="K15" s="67">
        <v>1.9E-2</v>
      </c>
      <c r="L15" s="66">
        <v>2.3E-2</v>
      </c>
    </row>
    <row r="16" spans="1:14" outlineLevel="1" x14ac:dyDescent="0.2">
      <c r="B16" s="61" t="s">
        <v>21</v>
      </c>
      <c r="C16" s="61" t="s">
        <v>135</v>
      </c>
      <c r="D16" s="61" t="s">
        <v>136</v>
      </c>
      <c r="E16" s="65" t="s">
        <v>34</v>
      </c>
      <c r="F16" s="69"/>
      <c r="G16" s="69"/>
      <c r="H16" s="68">
        <v>0.111</v>
      </c>
      <c r="I16" s="69">
        <v>0.122</v>
      </c>
      <c r="J16" s="68">
        <v>0.13900000000000001</v>
      </c>
      <c r="K16" s="67">
        <v>0.17899999999999999</v>
      </c>
      <c r="L16" s="66">
        <v>0.20800000000000002</v>
      </c>
    </row>
    <row r="17" spans="1:12" outlineLevel="1" x14ac:dyDescent="0.2">
      <c r="B17" s="61" t="s">
        <v>21</v>
      </c>
      <c r="C17" s="61" t="s">
        <v>135</v>
      </c>
      <c r="D17" s="61" t="s">
        <v>136</v>
      </c>
      <c r="E17" s="65" t="s">
        <v>4</v>
      </c>
      <c r="F17" s="71">
        <v>12.4</v>
      </c>
      <c r="G17" s="72">
        <v>14</v>
      </c>
      <c r="H17" s="73">
        <v>16.3</v>
      </c>
      <c r="I17" s="74">
        <v>17.100000000000001</v>
      </c>
      <c r="J17" s="73">
        <v>17.8</v>
      </c>
      <c r="K17" s="72">
        <v>20</v>
      </c>
      <c r="L17" s="71">
        <v>22</v>
      </c>
    </row>
    <row r="18" spans="1:12" outlineLevel="1" x14ac:dyDescent="0.2">
      <c r="B18" s="61" t="s">
        <v>21</v>
      </c>
      <c r="C18" s="61" t="s">
        <v>135</v>
      </c>
      <c r="D18" s="61" t="s">
        <v>136</v>
      </c>
      <c r="E18" s="65" t="s">
        <v>14</v>
      </c>
      <c r="F18" s="71">
        <v>5.7</v>
      </c>
      <c r="G18" s="72">
        <v>6.7</v>
      </c>
      <c r="H18" s="73">
        <v>7.7</v>
      </c>
      <c r="I18" s="74">
        <v>8.1</v>
      </c>
      <c r="J18" s="73">
        <v>8.6</v>
      </c>
      <c r="K18" s="72">
        <v>9.6000000000000014</v>
      </c>
      <c r="L18" s="71">
        <v>10.9</v>
      </c>
    </row>
    <row r="19" spans="1:12" outlineLevel="1" x14ac:dyDescent="0.2">
      <c r="B19" s="61" t="s">
        <v>21</v>
      </c>
      <c r="C19" s="61" t="s">
        <v>135</v>
      </c>
      <c r="D19" s="61" t="s">
        <v>136</v>
      </c>
      <c r="E19" s="65" t="s">
        <v>0</v>
      </c>
      <c r="F19" s="71">
        <v>14</v>
      </c>
      <c r="G19" s="72">
        <v>16.8</v>
      </c>
      <c r="H19" s="73">
        <v>20</v>
      </c>
      <c r="I19" s="74">
        <v>21</v>
      </c>
      <c r="J19" s="73">
        <v>22.3</v>
      </c>
      <c r="K19" s="72">
        <v>24</v>
      </c>
      <c r="L19" s="71">
        <v>25</v>
      </c>
    </row>
    <row r="20" spans="1:12" outlineLevel="1" x14ac:dyDescent="0.2"/>
    <row r="21" spans="1:12" x14ac:dyDescent="0.2">
      <c r="A21" s="59">
        <v>698</v>
      </c>
      <c r="B21" s="39" t="s">
        <v>21</v>
      </c>
      <c r="C21" s="39" t="s">
        <v>137</v>
      </c>
      <c r="D21" s="39" t="s">
        <v>136</v>
      </c>
      <c r="E21" s="153" t="s">
        <v>176</v>
      </c>
    </row>
    <row r="22" spans="1:12" outlineLevel="1" x14ac:dyDescent="0.2">
      <c r="B22" s="39" t="s">
        <v>21</v>
      </c>
      <c r="C22" s="39" t="s">
        <v>137</v>
      </c>
      <c r="D22" s="39" t="s">
        <v>136</v>
      </c>
      <c r="E22" s="65" t="s">
        <v>338</v>
      </c>
      <c r="F22" s="66">
        <v>0.39600000000000002</v>
      </c>
      <c r="G22" s="67">
        <v>0.42</v>
      </c>
      <c r="H22" s="68">
        <v>0.45200000000000001</v>
      </c>
      <c r="I22" s="69">
        <v>0.46500000000000002</v>
      </c>
      <c r="J22" s="68">
        <v>0.47500000000000003</v>
      </c>
      <c r="K22" s="67">
        <v>0.50800000000000001</v>
      </c>
      <c r="L22" s="66">
        <v>0.52800000000000002</v>
      </c>
    </row>
    <row r="23" spans="1:12" outlineLevel="1" x14ac:dyDescent="0.2">
      <c r="B23" s="39" t="s">
        <v>21</v>
      </c>
      <c r="C23" s="39" t="s">
        <v>137</v>
      </c>
      <c r="D23" s="39" t="s">
        <v>136</v>
      </c>
      <c r="E23" s="65" t="s">
        <v>339</v>
      </c>
      <c r="F23" s="66">
        <v>0.40800000000000003</v>
      </c>
      <c r="G23" s="67">
        <v>0.433</v>
      </c>
      <c r="H23" s="68">
        <v>0.46400000000000002</v>
      </c>
      <c r="I23" s="69">
        <v>0.47700000000000004</v>
      </c>
      <c r="J23" s="68">
        <v>0.48799999999999999</v>
      </c>
      <c r="K23" s="67">
        <v>0.52</v>
      </c>
      <c r="L23" s="66">
        <v>0.54100000000000004</v>
      </c>
    </row>
    <row r="24" spans="1:12" outlineLevel="1" x14ac:dyDescent="0.2">
      <c r="B24" s="39" t="s">
        <v>21</v>
      </c>
      <c r="C24" s="39" t="s">
        <v>137</v>
      </c>
      <c r="D24" s="39" t="s">
        <v>136</v>
      </c>
      <c r="E24" s="65" t="s">
        <v>351</v>
      </c>
      <c r="F24" s="66">
        <v>0.42</v>
      </c>
      <c r="G24" s="67">
        <v>0.44500000000000001</v>
      </c>
      <c r="H24" s="68">
        <v>0.47700000000000004</v>
      </c>
      <c r="I24" s="69">
        <v>0.49</v>
      </c>
      <c r="J24" s="68">
        <v>0.5</v>
      </c>
      <c r="K24" s="67">
        <v>0.53300000000000003</v>
      </c>
      <c r="L24" s="66">
        <v>0.55300000000000005</v>
      </c>
    </row>
    <row r="25" spans="1:12" outlineLevel="1" x14ac:dyDescent="0.2">
      <c r="B25" s="39" t="s">
        <v>21</v>
      </c>
      <c r="C25" s="39" t="s">
        <v>137</v>
      </c>
      <c r="D25" s="39" t="s">
        <v>136</v>
      </c>
      <c r="E25" s="65" t="s">
        <v>352</v>
      </c>
      <c r="F25" s="66">
        <v>0.42299999999999999</v>
      </c>
      <c r="G25" s="67">
        <v>0.44800000000000001</v>
      </c>
      <c r="H25" s="68">
        <v>0.48</v>
      </c>
      <c r="I25" s="69">
        <v>0.49299999999999999</v>
      </c>
      <c r="J25" s="68">
        <v>0.503</v>
      </c>
      <c r="K25" s="67">
        <v>0.53600000000000003</v>
      </c>
      <c r="L25" s="66">
        <v>0.55600000000000005</v>
      </c>
    </row>
    <row r="26" spans="1:12" outlineLevel="1" x14ac:dyDescent="0.2">
      <c r="B26" s="39" t="s">
        <v>21</v>
      </c>
      <c r="C26" s="39" t="s">
        <v>137</v>
      </c>
      <c r="D26" s="39" t="s">
        <v>136</v>
      </c>
      <c r="E26" s="65" t="s">
        <v>104</v>
      </c>
      <c r="F26" s="69"/>
      <c r="G26" s="69"/>
      <c r="H26" s="68">
        <v>1.7000000000000001E-2</v>
      </c>
      <c r="I26" s="69">
        <v>2.1000000000000001E-2</v>
      </c>
      <c r="J26" s="68">
        <v>2.5000000000000001E-2</v>
      </c>
      <c r="K26" s="67">
        <v>3.6999999999999998E-2</v>
      </c>
      <c r="L26" s="66">
        <v>4.9000000000000002E-2</v>
      </c>
    </row>
    <row r="27" spans="1:12" outlineLevel="1" x14ac:dyDescent="0.2">
      <c r="B27" s="39" t="s">
        <v>21</v>
      </c>
      <c r="C27" s="39" t="s">
        <v>137</v>
      </c>
      <c r="D27" s="39" t="s">
        <v>136</v>
      </c>
      <c r="E27" s="65" t="s">
        <v>105</v>
      </c>
      <c r="F27" s="69"/>
      <c r="G27" s="69"/>
      <c r="H27" s="68">
        <v>0.13700000000000001</v>
      </c>
      <c r="I27" s="69">
        <v>0.14699999999999999</v>
      </c>
      <c r="J27" s="68">
        <v>0.156</v>
      </c>
      <c r="K27" s="67">
        <v>0.182</v>
      </c>
      <c r="L27" s="66">
        <v>0.20300000000000001</v>
      </c>
    </row>
    <row r="28" spans="1:12" outlineLevel="1" x14ac:dyDescent="0.2">
      <c r="B28" s="39" t="s">
        <v>21</v>
      </c>
      <c r="C28" s="39" t="s">
        <v>137</v>
      </c>
      <c r="D28" s="39" t="s">
        <v>136</v>
      </c>
      <c r="E28" s="65" t="s">
        <v>106</v>
      </c>
      <c r="F28" s="69"/>
      <c r="G28" s="69"/>
      <c r="H28" s="69"/>
      <c r="I28" s="69">
        <v>2.1999999999999999E-2</v>
      </c>
      <c r="J28" s="69"/>
      <c r="K28" s="67">
        <v>4.7E-2</v>
      </c>
      <c r="L28" s="66">
        <v>6.9000000000000006E-2</v>
      </c>
    </row>
    <row r="29" spans="1:12" outlineLevel="1" x14ac:dyDescent="0.2">
      <c r="B29" s="39" t="s">
        <v>21</v>
      </c>
      <c r="C29" s="39" t="s">
        <v>137</v>
      </c>
      <c r="D29" s="39" t="s">
        <v>136</v>
      </c>
      <c r="E29" s="65" t="s">
        <v>107</v>
      </c>
      <c r="F29" s="69"/>
      <c r="G29" s="69"/>
      <c r="H29" s="69"/>
      <c r="I29" s="69">
        <v>3.3000000000000002E-2</v>
      </c>
      <c r="J29" s="69"/>
      <c r="K29" s="67">
        <v>5.2000000000000005E-2</v>
      </c>
      <c r="L29" s="66">
        <v>6.4000000000000001E-2</v>
      </c>
    </row>
    <row r="30" spans="1:12" outlineLevel="1" x14ac:dyDescent="0.2">
      <c r="B30" s="39" t="s">
        <v>21</v>
      </c>
      <c r="C30" s="39" t="s">
        <v>137</v>
      </c>
      <c r="D30" s="39" t="s">
        <v>136</v>
      </c>
      <c r="E30" s="65" t="s">
        <v>108</v>
      </c>
      <c r="F30" s="69"/>
      <c r="G30" s="69"/>
      <c r="H30" s="69"/>
      <c r="I30" s="69">
        <v>7.6999999999999999E-2</v>
      </c>
      <c r="J30" s="69"/>
      <c r="K30" s="67">
        <v>9.9000000000000005E-2</v>
      </c>
      <c r="L30" s="66">
        <v>0.111</v>
      </c>
    </row>
    <row r="31" spans="1:12" outlineLevel="1" x14ac:dyDescent="0.2">
      <c r="B31" s="39" t="s">
        <v>21</v>
      </c>
      <c r="C31" s="39" t="s">
        <v>137</v>
      </c>
      <c r="D31" s="39" t="s">
        <v>136</v>
      </c>
      <c r="E31" s="65" t="s">
        <v>109</v>
      </c>
      <c r="F31" s="66">
        <v>0.03</v>
      </c>
      <c r="G31" s="67">
        <v>3.7999999999999999E-2</v>
      </c>
      <c r="H31" s="68">
        <v>5.1000000000000004E-2</v>
      </c>
      <c r="I31" s="69">
        <v>5.6000000000000001E-2</v>
      </c>
      <c r="J31" s="68">
        <v>6.0999999999999999E-2</v>
      </c>
      <c r="K31" s="69"/>
      <c r="L31" s="69"/>
    </row>
    <row r="32" spans="1:12" outlineLevel="1" x14ac:dyDescent="0.2">
      <c r="B32" s="39" t="s">
        <v>21</v>
      </c>
      <c r="C32" s="39" t="s">
        <v>137</v>
      </c>
      <c r="D32" s="39" t="s">
        <v>136</v>
      </c>
      <c r="E32" s="65" t="s">
        <v>110</v>
      </c>
      <c r="F32" s="69"/>
      <c r="G32" s="69"/>
      <c r="H32" s="69"/>
      <c r="I32" s="69">
        <v>1.3000000000000001E-2</v>
      </c>
      <c r="J32" s="69"/>
      <c r="K32" s="67">
        <v>1.7000000000000001E-2</v>
      </c>
      <c r="L32" s="66">
        <v>1.9E-2</v>
      </c>
    </row>
    <row r="33" spans="1:12" outlineLevel="1" x14ac:dyDescent="0.2">
      <c r="B33" s="39" t="s">
        <v>21</v>
      </c>
      <c r="C33" s="39" t="s">
        <v>137</v>
      </c>
      <c r="D33" s="39" t="s">
        <v>136</v>
      </c>
      <c r="E33" s="65" t="s">
        <v>34</v>
      </c>
      <c r="F33" s="69"/>
      <c r="G33" s="69"/>
      <c r="H33" s="68">
        <v>9.7000000000000003E-2</v>
      </c>
      <c r="I33" s="69">
        <v>0.11</v>
      </c>
      <c r="J33" s="68">
        <v>0.125</v>
      </c>
      <c r="K33" s="67">
        <v>0.153</v>
      </c>
      <c r="L33" s="66">
        <v>0.17699999999999999</v>
      </c>
    </row>
    <row r="34" spans="1:12" outlineLevel="1" x14ac:dyDescent="0.2">
      <c r="B34" s="39" t="s">
        <v>21</v>
      </c>
      <c r="C34" s="39" t="s">
        <v>137</v>
      </c>
      <c r="D34" s="39" t="s">
        <v>136</v>
      </c>
      <c r="E34" s="65" t="s">
        <v>4</v>
      </c>
      <c r="F34" s="71">
        <v>17</v>
      </c>
      <c r="G34" s="72">
        <v>18</v>
      </c>
      <c r="H34" s="73">
        <v>19.600000000000001</v>
      </c>
      <c r="I34" s="74">
        <v>20.200000000000003</v>
      </c>
      <c r="J34" s="73">
        <v>20.700000000000003</v>
      </c>
      <c r="K34" s="72">
        <v>22.5</v>
      </c>
      <c r="L34" s="71">
        <v>23.900000000000002</v>
      </c>
    </row>
    <row r="35" spans="1:12" outlineLevel="1" x14ac:dyDescent="0.2">
      <c r="B35" s="39" t="s">
        <v>21</v>
      </c>
      <c r="C35" s="39" t="s">
        <v>137</v>
      </c>
      <c r="D35" s="39" t="s">
        <v>136</v>
      </c>
      <c r="E35" s="65" t="s">
        <v>14</v>
      </c>
      <c r="F35" s="71">
        <v>7.9</v>
      </c>
      <c r="G35" s="72">
        <v>8.5</v>
      </c>
      <c r="H35" s="73">
        <v>9.3000000000000007</v>
      </c>
      <c r="I35" s="74">
        <v>9.6000000000000014</v>
      </c>
      <c r="J35" s="73">
        <v>10</v>
      </c>
      <c r="K35" s="72">
        <v>11</v>
      </c>
      <c r="L35" s="71">
        <v>11.8</v>
      </c>
    </row>
    <row r="36" spans="1:12" outlineLevel="1" x14ac:dyDescent="0.2">
      <c r="B36" s="39" t="s">
        <v>21</v>
      </c>
      <c r="C36" s="39" t="s">
        <v>137</v>
      </c>
      <c r="D36" s="39" t="s">
        <v>136</v>
      </c>
      <c r="E36" s="65" t="s">
        <v>0</v>
      </c>
      <c r="F36" s="71">
        <v>21.700000000000003</v>
      </c>
      <c r="G36" s="72">
        <v>23.400000000000002</v>
      </c>
      <c r="H36" s="73">
        <v>25.1</v>
      </c>
      <c r="I36" s="74">
        <v>25.8</v>
      </c>
      <c r="J36" s="73">
        <v>26.3</v>
      </c>
      <c r="K36" s="72">
        <v>28.200000000000003</v>
      </c>
      <c r="L36" s="71">
        <v>29.200000000000003</v>
      </c>
    </row>
    <row r="37" spans="1:12" outlineLevel="1" x14ac:dyDescent="0.2"/>
    <row r="38" spans="1:12" x14ac:dyDescent="0.2">
      <c r="A38" s="75">
        <v>1757</v>
      </c>
      <c r="B38" s="39" t="s">
        <v>21</v>
      </c>
      <c r="C38" s="39" t="s">
        <v>138</v>
      </c>
      <c r="D38" s="39" t="s">
        <v>136</v>
      </c>
      <c r="E38" s="153" t="s">
        <v>177</v>
      </c>
    </row>
    <row r="39" spans="1:12" outlineLevel="1" x14ac:dyDescent="0.2">
      <c r="B39" s="39" t="s">
        <v>21</v>
      </c>
      <c r="C39" s="39" t="s">
        <v>138</v>
      </c>
      <c r="D39" s="39" t="s">
        <v>136</v>
      </c>
      <c r="E39" s="65" t="s">
        <v>338</v>
      </c>
      <c r="F39" s="66">
        <v>0.39900000000000002</v>
      </c>
      <c r="G39" s="67">
        <v>0.42299999999999999</v>
      </c>
      <c r="H39" s="68">
        <v>0.44900000000000001</v>
      </c>
      <c r="I39" s="69">
        <v>0.46100000000000002</v>
      </c>
      <c r="J39" s="68">
        <v>0.47300000000000003</v>
      </c>
      <c r="K39" s="67">
        <v>0.499</v>
      </c>
      <c r="L39" s="66">
        <v>0.51900000000000002</v>
      </c>
    </row>
    <row r="40" spans="1:12" outlineLevel="1" x14ac:dyDescent="0.2">
      <c r="B40" s="39" t="s">
        <v>21</v>
      </c>
      <c r="C40" s="39" t="s">
        <v>138</v>
      </c>
      <c r="D40" s="39" t="s">
        <v>136</v>
      </c>
      <c r="E40" s="65" t="s">
        <v>339</v>
      </c>
      <c r="F40" s="66">
        <v>0.41100000000000003</v>
      </c>
      <c r="G40" s="67">
        <v>0.435</v>
      </c>
      <c r="H40" s="68">
        <v>0.46200000000000002</v>
      </c>
      <c r="I40" s="69">
        <v>0.47300000000000003</v>
      </c>
      <c r="J40" s="68">
        <v>0.48499999999999999</v>
      </c>
      <c r="K40" s="67">
        <v>0.51100000000000001</v>
      </c>
      <c r="L40" s="66">
        <v>0.53100000000000003</v>
      </c>
    </row>
    <row r="41" spans="1:12" outlineLevel="1" x14ac:dyDescent="0.2">
      <c r="B41" s="39" t="s">
        <v>21</v>
      </c>
      <c r="C41" s="39" t="s">
        <v>138</v>
      </c>
      <c r="D41" s="39" t="s">
        <v>136</v>
      </c>
      <c r="E41" s="65" t="s">
        <v>351</v>
      </c>
      <c r="F41" s="66">
        <v>0.42299999999999999</v>
      </c>
      <c r="G41" s="67">
        <v>0.44700000000000001</v>
      </c>
      <c r="H41" s="68">
        <v>0.47400000000000003</v>
      </c>
      <c r="I41" s="69">
        <v>0.48599999999999999</v>
      </c>
      <c r="J41" s="68">
        <v>0.498</v>
      </c>
      <c r="K41" s="67">
        <v>0.52400000000000002</v>
      </c>
      <c r="L41" s="66">
        <v>0.54400000000000004</v>
      </c>
    </row>
    <row r="42" spans="1:12" outlineLevel="1" x14ac:dyDescent="0.2">
      <c r="B42" s="39" t="s">
        <v>21</v>
      </c>
      <c r="C42" s="39" t="s">
        <v>138</v>
      </c>
      <c r="D42" s="39" t="s">
        <v>136</v>
      </c>
      <c r="E42" s="65" t="s">
        <v>352</v>
      </c>
      <c r="F42" s="66">
        <v>0.42599999999999999</v>
      </c>
      <c r="G42" s="67">
        <v>0.45100000000000001</v>
      </c>
      <c r="H42" s="68">
        <v>0.47700000000000004</v>
      </c>
      <c r="I42" s="69">
        <v>0.48899999999999999</v>
      </c>
      <c r="J42" s="68">
        <v>0.501</v>
      </c>
      <c r="K42" s="67">
        <v>0.52700000000000002</v>
      </c>
      <c r="L42" s="66">
        <v>0.54700000000000004</v>
      </c>
    </row>
    <row r="43" spans="1:12" outlineLevel="1" x14ac:dyDescent="0.2">
      <c r="B43" s="39" t="s">
        <v>21</v>
      </c>
      <c r="C43" s="39" t="s">
        <v>138</v>
      </c>
      <c r="D43" s="39" t="s">
        <v>136</v>
      </c>
      <c r="E43" s="65" t="s">
        <v>104</v>
      </c>
      <c r="F43" s="69"/>
      <c r="G43" s="69"/>
      <c r="H43" s="68">
        <v>1.6E-2</v>
      </c>
      <c r="I43" s="69">
        <v>0.02</v>
      </c>
      <c r="J43" s="68">
        <v>2.3E-2</v>
      </c>
      <c r="K43" s="67">
        <v>3.6000000000000004E-2</v>
      </c>
      <c r="L43" s="66">
        <v>4.8000000000000001E-2</v>
      </c>
    </row>
    <row r="44" spans="1:12" outlineLevel="1" x14ac:dyDescent="0.2">
      <c r="B44" s="39" t="s">
        <v>21</v>
      </c>
      <c r="C44" s="39" t="s">
        <v>138</v>
      </c>
      <c r="D44" s="39" t="s">
        <v>136</v>
      </c>
      <c r="E44" s="65" t="s">
        <v>105</v>
      </c>
      <c r="F44" s="69"/>
      <c r="G44" s="69"/>
      <c r="H44" s="68">
        <v>0.14599999999999999</v>
      </c>
      <c r="I44" s="69">
        <v>0.156</v>
      </c>
      <c r="J44" s="68">
        <v>0.16600000000000001</v>
      </c>
      <c r="K44" s="67">
        <v>0.19</v>
      </c>
      <c r="L44" s="66">
        <v>0.21299999999999999</v>
      </c>
    </row>
    <row r="45" spans="1:12" outlineLevel="1" x14ac:dyDescent="0.2">
      <c r="B45" s="39" t="s">
        <v>21</v>
      </c>
      <c r="C45" s="39" t="s">
        <v>138</v>
      </c>
      <c r="D45" s="39" t="s">
        <v>136</v>
      </c>
      <c r="E45" s="65" t="s">
        <v>106</v>
      </c>
      <c r="F45" s="69"/>
      <c r="G45" s="69"/>
      <c r="H45" s="69"/>
      <c r="I45" s="69">
        <v>2.8000000000000001E-2</v>
      </c>
      <c r="J45" s="69"/>
      <c r="K45" s="67">
        <v>5.6000000000000001E-2</v>
      </c>
      <c r="L45" s="66">
        <v>7.5999999999999998E-2</v>
      </c>
    </row>
    <row r="46" spans="1:12" outlineLevel="1" x14ac:dyDescent="0.2">
      <c r="B46" s="39" t="s">
        <v>21</v>
      </c>
      <c r="C46" s="39" t="s">
        <v>138</v>
      </c>
      <c r="D46" s="39" t="s">
        <v>136</v>
      </c>
      <c r="E46" s="65" t="s">
        <v>107</v>
      </c>
      <c r="F46" s="69"/>
      <c r="G46" s="69"/>
      <c r="H46" s="69"/>
      <c r="I46" s="69">
        <v>3.5000000000000003E-2</v>
      </c>
      <c r="J46" s="69"/>
      <c r="K46" s="67">
        <v>5.2999999999999999E-2</v>
      </c>
      <c r="L46" s="66">
        <v>6.6000000000000003E-2</v>
      </c>
    </row>
    <row r="47" spans="1:12" outlineLevel="1" x14ac:dyDescent="0.2">
      <c r="B47" s="39" t="s">
        <v>21</v>
      </c>
      <c r="C47" s="39" t="s">
        <v>138</v>
      </c>
      <c r="D47" s="39" t="s">
        <v>136</v>
      </c>
      <c r="E47" s="65" t="s">
        <v>108</v>
      </c>
      <c r="F47" s="69"/>
      <c r="G47" s="69"/>
      <c r="H47" s="69"/>
      <c r="I47" s="69">
        <v>7.2000000000000008E-2</v>
      </c>
      <c r="J47" s="69"/>
      <c r="K47" s="67">
        <v>9.4E-2</v>
      </c>
      <c r="L47" s="66">
        <v>0.106</v>
      </c>
    </row>
    <row r="48" spans="1:12" outlineLevel="1" x14ac:dyDescent="0.2">
      <c r="B48" s="39" t="s">
        <v>21</v>
      </c>
      <c r="C48" s="39" t="s">
        <v>138</v>
      </c>
      <c r="D48" s="39" t="s">
        <v>136</v>
      </c>
      <c r="E48" s="65" t="s">
        <v>109</v>
      </c>
      <c r="F48" s="66">
        <v>0.03</v>
      </c>
      <c r="G48" s="67">
        <v>3.7999999999999999E-2</v>
      </c>
      <c r="H48" s="68">
        <v>4.8000000000000001E-2</v>
      </c>
      <c r="I48" s="69">
        <v>5.2999999999999999E-2</v>
      </c>
      <c r="J48" s="68">
        <v>5.9000000000000004E-2</v>
      </c>
      <c r="K48" s="69"/>
      <c r="L48" s="69"/>
    </row>
    <row r="49" spans="1:12" outlineLevel="1" x14ac:dyDescent="0.2">
      <c r="B49" s="39" t="s">
        <v>21</v>
      </c>
      <c r="C49" s="39" t="s">
        <v>138</v>
      </c>
      <c r="D49" s="39" t="s">
        <v>136</v>
      </c>
      <c r="E49" s="70" t="s">
        <v>110</v>
      </c>
      <c r="F49" s="69"/>
      <c r="G49" s="69"/>
      <c r="H49" s="69"/>
      <c r="I49" s="69">
        <v>1.2E-2</v>
      </c>
      <c r="J49" s="69"/>
      <c r="K49" s="67">
        <v>1.4999999999999999E-2</v>
      </c>
      <c r="L49" s="66">
        <v>1.7000000000000001E-2</v>
      </c>
    </row>
    <row r="50" spans="1:12" outlineLevel="1" x14ac:dyDescent="0.2">
      <c r="B50" s="39" t="s">
        <v>21</v>
      </c>
      <c r="C50" s="39" t="s">
        <v>138</v>
      </c>
      <c r="D50" s="39" t="s">
        <v>136</v>
      </c>
      <c r="E50" s="65" t="s">
        <v>34</v>
      </c>
      <c r="F50" s="69"/>
      <c r="G50" s="69"/>
      <c r="H50" s="68">
        <v>8.7999999999999995E-2</v>
      </c>
      <c r="I50" s="69">
        <v>9.4E-2</v>
      </c>
      <c r="J50" s="68">
        <v>0.10100000000000001</v>
      </c>
      <c r="K50" s="67">
        <v>0.11800000000000001</v>
      </c>
      <c r="L50" s="66">
        <v>0.13700000000000001</v>
      </c>
    </row>
    <row r="51" spans="1:12" outlineLevel="1" x14ac:dyDescent="0.2">
      <c r="B51" s="39" t="s">
        <v>21</v>
      </c>
      <c r="C51" s="39" t="s">
        <v>138</v>
      </c>
      <c r="D51" s="39" t="s">
        <v>136</v>
      </c>
      <c r="E51" s="65" t="s">
        <v>4</v>
      </c>
      <c r="F51" s="71">
        <v>19.100000000000001</v>
      </c>
      <c r="G51" s="72">
        <v>20.200000000000003</v>
      </c>
      <c r="H51" s="73">
        <v>21.700000000000003</v>
      </c>
      <c r="I51" s="74">
        <v>22.3</v>
      </c>
      <c r="J51" s="73">
        <v>23</v>
      </c>
      <c r="K51" s="72">
        <v>24.5</v>
      </c>
      <c r="L51" s="71">
        <v>26</v>
      </c>
    </row>
    <row r="52" spans="1:12" outlineLevel="1" x14ac:dyDescent="0.2">
      <c r="B52" s="39" t="s">
        <v>21</v>
      </c>
      <c r="C52" s="39" t="s">
        <v>138</v>
      </c>
      <c r="D52" s="39" t="s">
        <v>136</v>
      </c>
      <c r="E52" s="65" t="s">
        <v>14</v>
      </c>
      <c r="F52" s="71">
        <v>8.7000000000000011</v>
      </c>
      <c r="G52" s="72">
        <v>9.3000000000000007</v>
      </c>
      <c r="H52" s="73">
        <v>10.100000000000001</v>
      </c>
      <c r="I52" s="74">
        <v>10.5</v>
      </c>
      <c r="J52" s="73">
        <v>10.9</v>
      </c>
      <c r="K52" s="72">
        <v>11.8</v>
      </c>
      <c r="L52" s="71">
        <v>12.5</v>
      </c>
    </row>
    <row r="53" spans="1:12" outlineLevel="1" x14ac:dyDescent="0.2">
      <c r="B53" s="39" t="s">
        <v>21</v>
      </c>
      <c r="C53" s="39" t="s">
        <v>138</v>
      </c>
      <c r="D53" s="39" t="s">
        <v>136</v>
      </c>
      <c r="E53" s="65" t="s">
        <v>0</v>
      </c>
      <c r="F53" s="71">
        <v>25.6</v>
      </c>
      <c r="G53" s="72">
        <v>26.8</v>
      </c>
      <c r="H53" s="73">
        <v>28.400000000000002</v>
      </c>
      <c r="I53" s="74">
        <v>29</v>
      </c>
      <c r="J53" s="73">
        <v>29.5</v>
      </c>
      <c r="K53" s="72">
        <v>30</v>
      </c>
      <c r="L53" s="71">
        <v>30.6</v>
      </c>
    </row>
    <row r="54" spans="1:12" outlineLevel="1" x14ac:dyDescent="0.2"/>
    <row r="55" spans="1:12" x14ac:dyDescent="0.2">
      <c r="A55" s="59">
        <v>650</v>
      </c>
      <c r="B55" s="39" t="s">
        <v>21</v>
      </c>
      <c r="C55" s="39" t="s">
        <v>139</v>
      </c>
      <c r="D55" s="39" t="s">
        <v>136</v>
      </c>
      <c r="E55" s="153" t="s">
        <v>178</v>
      </c>
    </row>
    <row r="56" spans="1:12" outlineLevel="1" x14ac:dyDescent="0.2">
      <c r="B56" s="39" t="s">
        <v>21</v>
      </c>
      <c r="C56" s="39" t="s">
        <v>139</v>
      </c>
      <c r="D56" s="39" t="s">
        <v>136</v>
      </c>
      <c r="E56" s="65" t="s">
        <v>338</v>
      </c>
      <c r="F56" s="66">
        <v>0.41400000000000003</v>
      </c>
      <c r="G56" s="67">
        <v>0.433</v>
      </c>
      <c r="H56" s="68">
        <v>0.46</v>
      </c>
      <c r="I56" s="69">
        <v>0.47000000000000003</v>
      </c>
      <c r="J56" s="68">
        <v>0.48099999999999998</v>
      </c>
      <c r="K56" s="67">
        <v>0.505</v>
      </c>
      <c r="L56" s="66">
        <v>0.52400000000000002</v>
      </c>
    </row>
    <row r="57" spans="1:12" outlineLevel="1" x14ac:dyDescent="0.2">
      <c r="B57" s="39" t="s">
        <v>21</v>
      </c>
      <c r="C57" s="39" t="s">
        <v>139</v>
      </c>
      <c r="D57" s="39" t="s">
        <v>136</v>
      </c>
      <c r="E57" s="65" t="s">
        <v>339</v>
      </c>
      <c r="F57" s="66">
        <v>0.42599999999999999</v>
      </c>
      <c r="G57" s="67">
        <v>0.44500000000000001</v>
      </c>
      <c r="H57" s="68">
        <v>0.47200000000000003</v>
      </c>
      <c r="I57" s="69">
        <v>0.48299999999999998</v>
      </c>
      <c r="J57" s="68">
        <v>0.49299999999999999</v>
      </c>
      <c r="K57" s="67">
        <v>0.51700000000000002</v>
      </c>
      <c r="L57" s="66">
        <v>0.53700000000000003</v>
      </c>
    </row>
    <row r="58" spans="1:12" outlineLevel="1" x14ac:dyDescent="0.2">
      <c r="B58" s="39" t="s">
        <v>21</v>
      </c>
      <c r="C58" s="39" t="s">
        <v>139</v>
      </c>
      <c r="D58" s="39" t="s">
        <v>136</v>
      </c>
      <c r="E58" s="65" t="s">
        <v>351</v>
      </c>
      <c r="F58" s="66">
        <v>0.438</v>
      </c>
      <c r="G58" s="67">
        <v>0.45800000000000002</v>
      </c>
      <c r="H58" s="68">
        <v>0.48499999999999999</v>
      </c>
      <c r="I58" s="69">
        <v>0.495</v>
      </c>
      <c r="J58" s="68">
        <v>0.50600000000000001</v>
      </c>
      <c r="K58" s="67">
        <v>0.53</v>
      </c>
      <c r="L58" s="66">
        <v>0.54900000000000004</v>
      </c>
    </row>
    <row r="59" spans="1:12" outlineLevel="1" x14ac:dyDescent="0.2">
      <c r="B59" s="39" t="s">
        <v>21</v>
      </c>
      <c r="C59" s="39" t="s">
        <v>139</v>
      </c>
      <c r="D59" s="39" t="s">
        <v>136</v>
      </c>
      <c r="E59" s="65" t="s">
        <v>352</v>
      </c>
      <c r="F59" s="66">
        <v>0.441</v>
      </c>
      <c r="G59" s="67">
        <v>0.46100000000000002</v>
      </c>
      <c r="H59" s="68">
        <v>0.48799999999999999</v>
      </c>
      <c r="I59" s="69">
        <v>0.498</v>
      </c>
      <c r="J59" s="68">
        <v>0.50900000000000001</v>
      </c>
      <c r="K59" s="67">
        <v>0.53300000000000003</v>
      </c>
      <c r="L59" s="66">
        <v>0.55200000000000005</v>
      </c>
    </row>
    <row r="60" spans="1:12" outlineLevel="1" x14ac:dyDescent="0.2">
      <c r="B60" s="39" t="s">
        <v>21</v>
      </c>
      <c r="C60" s="39" t="s">
        <v>139</v>
      </c>
      <c r="D60" s="39" t="s">
        <v>136</v>
      </c>
      <c r="E60" s="65" t="s">
        <v>104</v>
      </c>
      <c r="F60" s="69"/>
      <c r="G60" s="69"/>
      <c r="H60" s="68">
        <v>1.4999999999999999E-2</v>
      </c>
      <c r="I60" s="69">
        <v>1.9E-2</v>
      </c>
      <c r="J60" s="68">
        <v>2.1999999999999999E-2</v>
      </c>
      <c r="K60" s="67">
        <v>3.3000000000000002E-2</v>
      </c>
      <c r="L60" s="66">
        <v>4.4999999999999998E-2</v>
      </c>
    </row>
    <row r="61" spans="1:12" outlineLevel="1" x14ac:dyDescent="0.2">
      <c r="B61" s="39" t="s">
        <v>21</v>
      </c>
      <c r="C61" s="39" t="s">
        <v>139</v>
      </c>
      <c r="D61" s="39" t="s">
        <v>136</v>
      </c>
      <c r="E61" s="65" t="s">
        <v>105</v>
      </c>
      <c r="F61" s="69"/>
      <c r="G61" s="69"/>
      <c r="H61" s="68">
        <v>0.156</v>
      </c>
      <c r="I61" s="69">
        <v>0.16400000000000001</v>
      </c>
      <c r="J61" s="68">
        <v>0.17400000000000002</v>
      </c>
      <c r="K61" s="67">
        <v>0.19700000000000001</v>
      </c>
      <c r="L61" s="66">
        <v>0.215</v>
      </c>
    </row>
    <row r="62" spans="1:12" outlineLevel="1" x14ac:dyDescent="0.2">
      <c r="B62" s="39" t="s">
        <v>21</v>
      </c>
      <c r="C62" s="39" t="s">
        <v>139</v>
      </c>
      <c r="D62" s="39" t="s">
        <v>136</v>
      </c>
      <c r="E62" s="65" t="s">
        <v>106</v>
      </c>
      <c r="F62" s="69"/>
      <c r="G62" s="69"/>
      <c r="H62" s="69"/>
      <c r="I62" s="69">
        <v>0.03</v>
      </c>
      <c r="J62" s="69"/>
      <c r="K62" s="67">
        <v>5.8000000000000003E-2</v>
      </c>
      <c r="L62" s="66">
        <v>7.6999999999999999E-2</v>
      </c>
    </row>
    <row r="63" spans="1:12" outlineLevel="1" x14ac:dyDescent="0.2">
      <c r="B63" s="39" t="s">
        <v>21</v>
      </c>
      <c r="C63" s="39" t="s">
        <v>139</v>
      </c>
      <c r="D63" s="39" t="s">
        <v>136</v>
      </c>
      <c r="E63" s="65" t="s">
        <v>107</v>
      </c>
      <c r="F63" s="69"/>
      <c r="G63" s="69"/>
      <c r="H63" s="69"/>
      <c r="I63" s="69">
        <v>3.4000000000000002E-2</v>
      </c>
      <c r="J63" s="69"/>
      <c r="K63" s="67">
        <v>5.2999999999999999E-2</v>
      </c>
      <c r="L63" s="66">
        <v>6.6000000000000003E-2</v>
      </c>
    </row>
    <row r="64" spans="1:12" outlineLevel="1" x14ac:dyDescent="0.2">
      <c r="B64" s="39" t="s">
        <v>21</v>
      </c>
      <c r="C64" s="39" t="s">
        <v>139</v>
      </c>
      <c r="D64" s="39" t="s">
        <v>136</v>
      </c>
      <c r="E64" s="65" t="s">
        <v>108</v>
      </c>
      <c r="F64" s="69"/>
      <c r="G64" s="69"/>
      <c r="H64" s="69"/>
      <c r="I64" s="69">
        <v>6.7000000000000004E-2</v>
      </c>
      <c r="J64" s="69"/>
      <c r="K64" s="67">
        <v>8.7999999999999995E-2</v>
      </c>
      <c r="L64" s="66">
        <v>0.10400000000000001</v>
      </c>
    </row>
    <row r="65" spans="1:12" outlineLevel="1" x14ac:dyDescent="0.2">
      <c r="B65" s="39" t="s">
        <v>21</v>
      </c>
      <c r="C65" s="39" t="s">
        <v>139</v>
      </c>
      <c r="D65" s="39" t="s">
        <v>136</v>
      </c>
      <c r="E65" s="65" t="s">
        <v>109</v>
      </c>
      <c r="F65" s="66">
        <v>3.2000000000000001E-2</v>
      </c>
      <c r="G65" s="67">
        <v>3.7999999999999999E-2</v>
      </c>
      <c r="H65" s="68">
        <v>4.8000000000000001E-2</v>
      </c>
      <c r="I65" s="69">
        <v>5.2000000000000005E-2</v>
      </c>
      <c r="J65" s="68">
        <v>5.7000000000000002E-2</v>
      </c>
      <c r="K65" s="69"/>
      <c r="L65" s="69"/>
    </row>
    <row r="66" spans="1:12" outlineLevel="1" x14ac:dyDescent="0.2">
      <c r="B66" s="39" t="s">
        <v>21</v>
      </c>
      <c r="C66" s="39" t="s">
        <v>139</v>
      </c>
      <c r="D66" s="39" t="s">
        <v>136</v>
      </c>
      <c r="E66" s="70" t="s">
        <v>110</v>
      </c>
      <c r="F66" s="69"/>
      <c r="G66" s="69"/>
      <c r="H66" s="69"/>
      <c r="I66" s="69">
        <v>1.0999999999999999E-2</v>
      </c>
      <c r="J66" s="69"/>
      <c r="K66" s="67">
        <v>1.4E-2</v>
      </c>
      <c r="L66" s="66">
        <v>1.6E-2</v>
      </c>
    </row>
    <row r="67" spans="1:12" outlineLevel="1" x14ac:dyDescent="0.2">
      <c r="B67" s="39" t="s">
        <v>21</v>
      </c>
      <c r="C67" s="39" t="s">
        <v>139</v>
      </c>
      <c r="D67" s="39" t="s">
        <v>136</v>
      </c>
      <c r="E67" s="70" t="s">
        <v>34</v>
      </c>
      <c r="F67" s="69"/>
      <c r="G67" s="69"/>
      <c r="H67" s="68">
        <v>6.0999999999999999E-2</v>
      </c>
      <c r="I67" s="69">
        <v>6.7000000000000004E-2</v>
      </c>
      <c r="J67" s="68">
        <v>7.2999999999999995E-2</v>
      </c>
      <c r="K67" s="67">
        <v>8.7000000000000008E-2</v>
      </c>
      <c r="L67" s="66">
        <v>0.10300000000000001</v>
      </c>
    </row>
    <row r="68" spans="1:12" outlineLevel="1" x14ac:dyDescent="0.2">
      <c r="B68" s="39" t="s">
        <v>21</v>
      </c>
      <c r="C68" s="39" t="s">
        <v>139</v>
      </c>
      <c r="D68" s="39" t="s">
        <v>136</v>
      </c>
      <c r="E68" s="70" t="s">
        <v>4</v>
      </c>
      <c r="F68" s="71">
        <v>20.100000000000001</v>
      </c>
      <c r="G68" s="72">
        <v>21.200000000000003</v>
      </c>
      <c r="H68" s="73">
        <v>22.700000000000003</v>
      </c>
      <c r="I68" s="74">
        <v>23.3</v>
      </c>
      <c r="J68" s="73">
        <v>23.700000000000003</v>
      </c>
      <c r="K68" s="72">
        <v>25.200000000000003</v>
      </c>
      <c r="L68" s="71">
        <v>26.400000000000002</v>
      </c>
    </row>
    <row r="69" spans="1:12" outlineLevel="1" x14ac:dyDescent="0.2">
      <c r="B69" s="39" t="s">
        <v>21</v>
      </c>
      <c r="C69" s="39" t="s">
        <v>139</v>
      </c>
      <c r="D69" s="39" t="s">
        <v>136</v>
      </c>
      <c r="E69" s="70" t="s">
        <v>14</v>
      </c>
      <c r="F69" s="71">
        <v>9.3000000000000007</v>
      </c>
      <c r="G69" s="72">
        <v>9.9</v>
      </c>
      <c r="H69" s="73">
        <v>10.700000000000001</v>
      </c>
      <c r="I69" s="74">
        <v>11</v>
      </c>
      <c r="J69" s="73">
        <v>11.4</v>
      </c>
      <c r="K69" s="72">
        <v>12.3</v>
      </c>
      <c r="L69" s="71">
        <v>13.3</v>
      </c>
    </row>
    <row r="70" spans="1:12" outlineLevel="1" x14ac:dyDescent="0.2">
      <c r="B70" s="39" t="s">
        <v>21</v>
      </c>
      <c r="C70" s="39" t="s">
        <v>139</v>
      </c>
      <c r="D70" s="39" t="s">
        <v>136</v>
      </c>
      <c r="E70" s="70" t="s">
        <v>0</v>
      </c>
      <c r="F70" s="71">
        <v>27.6</v>
      </c>
      <c r="G70" s="72">
        <v>28.400000000000002</v>
      </c>
      <c r="H70" s="73">
        <v>29.400000000000002</v>
      </c>
      <c r="I70" s="74">
        <v>29.6</v>
      </c>
      <c r="J70" s="73">
        <v>29.8</v>
      </c>
      <c r="K70" s="72">
        <v>30.1</v>
      </c>
      <c r="L70" s="71">
        <v>30.6</v>
      </c>
    </row>
    <row r="71" spans="1:12" outlineLevel="1" x14ac:dyDescent="0.2"/>
    <row r="72" spans="1:12" x14ac:dyDescent="0.2">
      <c r="A72" s="59">
        <v>880</v>
      </c>
      <c r="B72" s="39" t="s">
        <v>21</v>
      </c>
      <c r="C72" s="39" t="s">
        <v>135</v>
      </c>
      <c r="D72" s="39" t="s">
        <v>140</v>
      </c>
      <c r="E72" s="153" t="s">
        <v>179</v>
      </c>
    </row>
    <row r="73" spans="1:12" outlineLevel="1" x14ac:dyDescent="0.2">
      <c r="B73" s="39" t="s">
        <v>21</v>
      </c>
      <c r="C73" s="39" t="s">
        <v>135</v>
      </c>
      <c r="D73" s="39" t="s">
        <v>140</v>
      </c>
      <c r="E73" s="65" t="s">
        <v>338</v>
      </c>
      <c r="F73" s="66">
        <v>0.374</v>
      </c>
      <c r="G73" s="67">
        <v>0.40200000000000002</v>
      </c>
      <c r="H73" s="68">
        <v>0.437</v>
      </c>
      <c r="I73" s="69">
        <v>0.45300000000000001</v>
      </c>
      <c r="J73" s="68">
        <v>0.46700000000000003</v>
      </c>
      <c r="K73" s="67">
        <v>0.502</v>
      </c>
      <c r="L73" s="66">
        <v>0.53100000000000003</v>
      </c>
    </row>
    <row r="74" spans="1:12" outlineLevel="1" x14ac:dyDescent="0.2">
      <c r="B74" s="39" t="s">
        <v>21</v>
      </c>
      <c r="C74" s="39" t="s">
        <v>135</v>
      </c>
      <c r="D74" s="39" t="s">
        <v>140</v>
      </c>
      <c r="E74" s="65" t="s">
        <v>339</v>
      </c>
      <c r="F74" s="66">
        <v>0.38600000000000001</v>
      </c>
      <c r="G74" s="67">
        <v>0.41400000000000003</v>
      </c>
      <c r="H74" s="68">
        <v>0.44900000000000001</v>
      </c>
      <c r="I74" s="69">
        <v>0.46500000000000002</v>
      </c>
      <c r="J74" s="68">
        <v>0.47900000000000004</v>
      </c>
      <c r="K74" s="67">
        <v>0.51500000000000001</v>
      </c>
      <c r="L74" s="66">
        <v>0.54400000000000004</v>
      </c>
    </row>
    <row r="75" spans="1:12" outlineLevel="1" x14ac:dyDescent="0.2">
      <c r="B75" s="39" t="s">
        <v>21</v>
      </c>
      <c r="C75" s="39" t="s">
        <v>135</v>
      </c>
      <c r="D75" s="39" t="s">
        <v>140</v>
      </c>
      <c r="E75" s="65" t="s">
        <v>351</v>
      </c>
      <c r="F75" s="66">
        <v>0.39800000000000002</v>
      </c>
      <c r="G75" s="67">
        <v>0.42599999999999999</v>
      </c>
      <c r="H75" s="68">
        <v>0.46100000000000002</v>
      </c>
      <c r="I75" s="69">
        <v>0.47800000000000004</v>
      </c>
      <c r="J75" s="68">
        <v>0.49199999999999999</v>
      </c>
      <c r="K75" s="67">
        <v>0.52700000000000002</v>
      </c>
      <c r="L75" s="66">
        <v>0.55600000000000005</v>
      </c>
    </row>
    <row r="76" spans="1:12" outlineLevel="1" x14ac:dyDescent="0.2">
      <c r="B76" s="39" t="s">
        <v>21</v>
      </c>
      <c r="C76" s="39" t="s">
        <v>135</v>
      </c>
      <c r="D76" s="39" t="s">
        <v>140</v>
      </c>
      <c r="E76" s="65" t="s">
        <v>352</v>
      </c>
      <c r="F76" s="66">
        <v>0.40100000000000002</v>
      </c>
      <c r="G76" s="67">
        <v>0.42899999999999999</v>
      </c>
      <c r="H76" s="68">
        <v>0.46500000000000002</v>
      </c>
      <c r="I76" s="69">
        <v>0.48099999999999998</v>
      </c>
      <c r="J76" s="68">
        <v>0.495</v>
      </c>
      <c r="K76" s="67">
        <v>0.53</v>
      </c>
      <c r="L76" s="66">
        <v>0.55900000000000005</v>
      </c>
    </row>
    <row r="77" spans="1:12" outlineLevel="1" x14ac:dyDescent="0.2">
      <c r="B77" s="39" t="s">
        <v>21</v>
      </c>
      <c r="C77" s="39" t="s">
        <v>135</v>
      </c>
      <c r="D77" s="39" t="s">
        <v>140</v>
      </c>
      <c r="E77" s="65" t="s">
        <v>104</v>
      </c>
      <c r="F77" s="69"/>
      <c r="G77" s="69"/>
      <c r="H77" s="68">
        <v>1.6E-2</v>
      </c>
      <c r="I77" s="69">
        <v>2.1000000000000001E-2</v>
      </c>
      <c r="J77" s="68">
        <v>2.6000000000000002E-2</v>
      </c>
      <c r="K77" s="67">
        <v>4.1000000000000002E-2</v>
      </c>
      <c r="L77" s="66">
        <v>5.8000000000000003E-2</v>
      </c>
    </row>
    <row r="78" spans="1:12" outlineLevel="1" x14ac:dyDescent="0.2">
      <c r="B78" s="39" t="s">
        <v>21</v>
      </c>
      <c r="C78" s="39" t="s">
        <v>135</v>
      </c>
      <c r="D78" s="39" t="s">
        <v>140</v>
      </c>
      <c r="E78" s="65" t="s">
        <v>105</v>
      </c>
      <c r="F78" s="69"/>
      <c r="G78" s="69"/>
      <c r="H78" s="68">
        <v>0.13300000000000001</v>
      </c>
      <c r="I78" s="69">
        <v>0.14300000000000002</v>
      </c>
      <c r="J78" s="68">
        <v>0.153</v>
      </c>
      <c r="K78" s="67">
        <v>0.17899999999999999</v>
      </c>
      <c r="L78" s="66">
        <v>0.19800000000000001</v>
      </c>
    </row>
    <row r="79" spans="1:12" outlineLevel="1" x14ac:dyDescent="0.2">
      <c r="B79" s="39" t="s">
        <v>21</v>
      </c>
      <c r="C79" s="39" t="s">
        <v>135</v>
      </c>
      <c r="D79" s="39" t="s">
        <v>140</v>
      </c>
      <c r="E79" s="65" t="s">
        <v>106</v>
      </c>
      <c r="F79" s="69"/>
      <c r="G79" s="69"/>
      <c r="H79" s="69"/>
      <c r="I79" s="69">
        <v>2.4E-2</v>
      </c>
      <c r="J79" s="69"/>
      <c r="K79" s="67">
        <v>5.8000000000000003E-2</v>
      </c>
      <c r="L79" s="66">
        <v>7.9000000000000001E-2</v>
      </c>
    </row>
    <row r="80" spans="1:12" outlineLevel="1" x14ac:dyDescent="0.2">
      <c r="B80" s="39" t="s">
        <v>21</v>
      </c>
      <c r="C80" s="39" t="s">
        <v>135</v>
      </c>
      <c r="D80" s="39" t="s">
        <v>140</v>
      </c>
      <c r="E80" s="65" t="s">
        <v>107</v>
      </c>
      <c r="F80" s="69"/>
      <c r="G80" s="69"/>
      <c r="H80" s="69"/>
      <c r="I80" s="69">
        <v>3.3000000000000002E-2</v>
      </c>
      <c r="J80" s="69"/>
      <c r="K80" s="67">
        <v>5.1000000000000004E-2</v>
      </c>
      <c r="L80" s="66">
        <v>6.6000000000000003E-2</v>
      </c>
    </row>
    <row r="81" spans="1:12" outlineLevel="1" x14ac:dyDescent="0.2">
      <c r="B81" s="39" t="s">
        <v>21</v>
      </c>
      <c r="C81" s="39" t="s">
        <v>135</v>
      </c>
      <c r="D81" s="39" t="s">
        <v>140</v>
      </c>
      <c r="E81" s="65" t="s">
        <v>108</v>
      </c>
      <c r="F81" s="69"/>
      <c r="G81" s="69"/>
      <c r="H81" s="69"/>
      <c r="I81" s="69">
        <v>8.1000000000000003E-2</v>
      </c>
      <c r="J81" s="69"/>
      <c r="K81" s="67">
        <v>0.108</v>
      </c>
      <c r="L81" s="66">
        <v>0.121</v>
      </c>
    </row>
    <row r="82" spans="1:12" outlineLevel="1" x14ac:dyDescent="0.2">
      <c r="B82" s="39" t="s">
        <v>21</v>
      </c>
      <c r="C82" s="39" t="s">
        <v>135</v>
      </c>
      <c r="D82" s="39" t="s">
        <v>140</v>
      </c>
      <c r="E82" s="65" t="s">
        <v>109</v>
      </c>
      <c r="F82" s="66">
        <v>0.03</v>
      </c>
      <c r="G82" s="67">
        <v>3.9E-2</v>
      </c>
      <c r="H82" s="68">
        <v>5.1000000000000004E-2</v>
      </c>
      <c r="I82" s="69">
        <v>5.6000000000000001E-2</v>
      </c>
      <c r="J82" s="68">
        <v>6.3E-2</v>
      </c>
      <c r="K82" s="69"/>
      <c r="L82" s="69"/>
    </row>
    <row r="83" spans="1:12" outlineLevel="1" x14ac:dyDescent="0.2">
      <c r="B83" s="39" t="s">
        <v>21</v>
      </c>
      <c r="C83" s="39" t="s">
        <v>135</v>
      </c>
      <c r="D83" s="39" t="s">
        <v>140</v>
      </c>
      <c r="E83" s="65" t="s">
        <v>110</v>
      </c>
      <c r="F83" s="69"/>
      <c r="G83" s="69"/>
      <c r="H83" s="69"/>
      <c r="I83" s="69">
        <v>1.4E-2</v>
      </c>
      <c r="J83" s="69"/>
      <c r="K83" s="67">
        <v>1.9E-2</v>
      </c>
      <c r="L83" s="66">
        <v>2.1999999999999999E-2</v>
      </c>
    </row>
    <row r="84" spans="1:12" outlineLevel="1" x14ac:dyDescent="0.2">
      <c r="B84" s="39" t="s">
        <v>21</v>
      </c>
      <c r="C84" s="39" t="s">
        <v>135</v>
      </c>
      <c r="D84" s="39" t="s">
        <v>140</v>
      </c>
      <c r="E84" s="65" t="s">
        <v>34</v>
      </c>
      <c r="F84" s="69"/>
      <c r="G84" s="69"/>
      <c r="H84" s="68">
        <v>0.105</v>
      </c>
      <c r="I84" s="69">
        <v>0.11800000000000001</v>
      </c>
      <c r="J84" s="68">
        <v>0.13</v>
      </c>
      <c r="K84" s="67">
        <v>0.17100000000000001</v>
      </c>
      <c r="L84" s="66">
        <v>0.20400000000000001</v>
      </c>
    </row>
    <row r="85" spans="1:12" outlineLevel="1" x14ac:dyDescent="0.2">
      <c r="B85" s="39" t="s">
        <v>21</v>
      </c>
      <c r="C85" s="39" t="s">
        <v>135</v>
      </c>
      <c r="D85" s="39" t="s">
        <v>140</v>
      </c>
      <c r="E85" s="65" t="s">
        <v>4</v>
      </c>
      <c r="F85" s="71">
        <v>11.8</v>
      </c>
      <c r="G85" s="72">
        <v>13.700000000000001</v>
      </c>
      <c r="H85" s="73">
        <v>15.700000000000001</v>
      </c>
      <c r="I85" s="74">
        <v>16.7</v>
      </c>
      <c r="J85" s="73">
        <v>17.600000000000001</v>
      </c>
      <c r="K85" s="72">
        <v>19.8</v>
      </c>
      <c r="L85" s="71">
        <v>21.6</v>
      </c>
    </row>
    <row r="86" spans="1:12" outlineLevel="1" x14ac:dyDescent="0.2">
      <c r="B86" s="39" t="s">
        <v>21</v>
      </c>
      <c r="C86" s="39" t="s">
        <v>135</v>
      </c>
      <c r="D86" s="39" t="s">
        <v>140</v>
      </c>
      <c r="E86" s="65" t="s">
        <v>14</v>
      </c>
      <c r="F86" s="71">
        <v>5.6000000000000005</v>
      </c>
      <c r="G86" s="72">
        <v>6.3000000000000007</v>
      </c>
      <c r="H86" s="73">
        <v>7.3000000000000007</v>
      </c>
      <c r="I86" s="74">
        <v>7.8000000000000007</v>
      </c>
      <c r="J86" s="73">
        <v>8.2000000000000011</v>
      </c>
      <c r="K86" s="72">
        <v>9.2000000000000011</v>
      </c>
      <c r="L86" s="71">
        <v>10</v>
      </c>
    </row>
    <row r="87" spans="1:12" outlineLevel="1" x14ac:dyDescent="0.2">
      <c r="B87" s="39" t="s">
        <v>21</v>
      </c>
      <c r="C87" s="39" t="s">
        <v>135</v>
      </c>
      <c r="D87" s="39" t="s">
        <v>140</v>
      </c>
      <c r="E87" s="65" t="s">
        <v>0</v>
      </c>
      <c r="F87" s="71">
        <v>13.5</v>
      </c>
      <c r="G87" s="72">
        <v>16.3</v>
      </c>
      <c r="H87" s="73">
        <v>19.900000000000002</v>
      </c>
      <c r="I87" s="74">
        <v>21</v>
      </c>
      <c r="J87" s="73">
        <v>22</v>
      </c>
      <c r="K87" s="72">
        <v>24</v>
      </c>
      <c r="L87" s="71">
        <v>25.3</v>
      </c>
    </row>
    <row r="88" spans="1:12" outlineLevel="1" x14ac:dyDescent="0.2"/>
    <row r="89" spans="1:12" x14ac:dyDescent="0.2">
      <c r="A89" s="59">
        <v>994</v>
      </c>
      <c r="B89" s="39" t="s">
        <v>21</v>
      </c>
      <c r="C89" s="39" t="s">
        <v>137</v>
      </c>
      <c r="D89" s="39" t="s">
        <v>140</v>
      </c>
      <c r="E89" s="153" t="s">
        <v>180</v>
      </c>
    </row>
    <row r="90" spans="1:12" outlineLevel="1" x14ac:dyDescent="0.2">
      <c r="B90" s="39" t="s">
        <v>21</v>
      </c>
      <c r="C90" s="39" t="s">
        <v>137</v>
      </c>
      <c r="D90" s="39" t="s">
        <v>140</v>
      </c>
      <c r="E90" s="65" t="s">
        <v>338</v>
      </c>
      <c r="F90" s="66">
        <v>0.38</v>
      </c>
      <c r="G90" s="67">
        <v>0.40700000000000003</v>
      </c>
      <c r="H90" s="68">
        <v>0.436</v>
      </c>
      <c r="I90" s="69">
        <v>0.44800000000000001</v>
      </c>
      <c r="J90" s="68">
        <v>0.46100000000000002</v>
      </c>
      <c r="K90" s="67">
        <v>0.49099999999999999</v>
      </c>
      <c r="L90" s="66">
        <v>0.51600000000000001</v>
      </c>
    </row>
    <row r="91" spans="1:12" outlineLevel="1" x14ac:dyDescent="0.2">
      <c r="B91" s="39" t="s">
        <v>21</v>
      </c>
      <c r="C91" s="39" t="s">
        <v>137</v>
      </c>
      <c r="D91" s="39" t="s">
        <v>140</v>
      </c>
      <c r="E91" s="65" t="s">
        <v>339</v>
      </c>
      <c r="F91" s="66">
        <v>0.39200000000000002</v>
      </c>
      <c r="G91" s="67">
        <v>0.41899999999999998</v>
      </c>
      <c r="H91" s="68">
        <v>0.44900000000000001</v>
      </c>
      <c r="I91" s="69">
        <v>0.46</v>
      </c>
      <c r="J91" s="68">
        <v>0.47300000000000003</v>
      </c>
      <c r="K91" s="67">
        <v>0.503</v>
      </c>
      <c r="L91" s="66">
        <v>0.52800000000000002</v>
      </c>
    </row>
    <row r="92" spans="1:12" outlineLevel="1" x14ac:dyDescent="0.2">
      <c r="B92" s="39" t="s">
        <v>21</v>
      </c>
      <c r="C92" s="39" t="s">
        <v>137</v>
      </c>
      <c r="D92" s="39" t="s">
        <v>140</v>
      </c>
      <c r="E92" s="65" t="s">
        <v>351</v>
      </c>
      <c r="F92" s="66">
        <v>0.40400000000000003</v>
      </c>
      <c r="G92" s="67">
        <v>0.43099999999999999</v>
      </c>
      <c r="H92" s="68">
        <v>0.46100000000000002</v>
      </c>
      <c r="I92" s="69">
        <v>0.47300000000000003</v>
      </c>
      <c r="J92" s="68">
        <v>0.48599999999999999</v>
      </c>
      <c r="K92" s="67">
        <v>0.51600000000000001</v>
      </c>
      <c r="L92" s="66">
        <v>0.54100000000000004</v>
      </c>
    </row>
    <row r="93" spans="1:12" outlineLevel="1" x14ac:dyDescent="0.2">
      <c r="B93" s="39" t="s">
        <v>21</v>
      </c>
      <c r="C93" s="39" t="s">
        <v>137</v>
      </c>
      <c r="D93" s="39" t="s">
        <v>140</v>
      </c>
      <c r="E93" s="65" t="s">
        <v>352</v>
      </c>
      <c r="F93" s="66">
        <v>0.40700000000000003</v>
      </c>
      <c r="G93" s="67">
        <v>0.434</v>
      </c>
      <c r="H93" s="68">
        <v>0.46400000000000002</v>
      </c>
      <c r="I93" s="69">
        <v>0.47600000000000003</v>
      </c>
      <c r="J93" s="68">
        <v>0.48899999999999999</v>
      </c>
      <c r="K93" s="67">
        <v>0.51900000000000002</v>
      </c>
      <c r="L93" s="66">
        <v>0.54400000000000004</v>
      </c>
    </row>
    <row r="94" spans="1:12" outlineLevel="1" x14ac:dyDescent="0.2">
      <c r="B94" s="39" t="s">
        <v>21</v>
      </c>
      <c r="C94" s="39" t="s">
        <v>137</v>
      </c>
      <c r="D94" s="39" t="s">
        <v>140</v>
      </c>
      <c r="E94" s="65" t="s">
        <v>104</v>
      </c>
      <c r="F94" s="69"/>
      <c r="G94" s="69"/>
      <c r="H94" s="68">
        <v>1.7000000000000001E-2</v>
      </c>
      <c r="I94" s="69">
        <v>2.1999999999999999E-2</v>
      </c>
      <c r="J94" s="68">
        <v>2.7E-2</v>
      </c>
      <c r="K94" s="67">
        <v>4.1000000000000002E-2</v>
      </c>
      <c r="L94" s="66">
        <v>5.2999999999999999E-2</v>
      </c>
    </row>
    <row r="95" spans="1:12" outlineLevel="1" x14ac:dyDescent="0.2">
      <c r="B95" s="39" t="s">
        <v>21</v>
      </c>
      <c r="C95" s="39" t="s">
        <v>137</v>
      </c>
      <c r="D95" s="39" t="s">
        <v>140</v>
      </c>
      <c r="E95" s="65" t="s">
        <v>105</v>
      </c>
      <c r="F95" s="69"/>
      <c r="G95" s="69"/>
      <c r="H95" s="68">
        <v>0.15</v>
      </c>
      <c r="I95" s="69">
        <v>0.16</v>
      </c>
      <c r="J95" s="68">
        <v>0.17100000000000001</v>
      </c>
      <c r="K95" s="67">
        <v>0.19700000000000001</v>
      </c>
      <c r="L95" s="66">
        <v>0.223</v>
      </c>
    </row>
    <row r="96" spans="1:12" outlineLevel="1" x14ac:dyDescent="0.2">
      <c r="B96" s="39" t="s">
        <v>21</v>
      </c>
      <c r="C96" s="39" t="s">
        <v>137</v>
      </c>
      <c r="D96" s="39" t="s">
        <v>140</v>
      </c>
      <c r="E96" s="65" t="s">
        <v>106</v>
      </c>
      <c r="F96" s="69"/>
      <c r="G96" s="69"/>
      <c r="H96" s="69"/>
      <c r="I96" s="69">
        <v>2.8000000000000001E-2</v>
      </c>
      <c r="J96" s="69"/>
      <c r="K96" s="67">
        <v>5.5E-2</v>
      </c>
      <c r="L96" s="66">
        <v>7.4999999999999997E-2</v>
      </c>
    </row>
    <row r="97" spans="1:12" outlineLevel="1" x14ac:dyDescent="0.2">
      <c r="B97" s="39" t="s">
        <v>21</v>
      </c>
      <c r="C97" s="39" t="s">
        <v>137</v>
      </c>
      <c r="D97" s="39" t="s">
        <v>140</v>
      </c>
      <c r="E97" s="65" t="s">
        <v>107</v>
      </c>
      <c r="F97" s="69"/>
      <c r="G97" s="69"/>
      <c r="H97" s="69"/>
      <c r="I97" s="69">
        <v>3.5000000000000003E-2</v>
      </c>
      <c r="J97" s="69"/>
      <c r="K97" s="67">
        <v>5.2000000000000005E-2</v>
      </c>
      <c r="L97" s="66">
        <v>6.4000000000000001E-2</v>
      </c>
    </row>
    <row r="98" spans="1:12" outlineLevel="1" x14ac:dyDescent="0.2">
      <c r="B98" s="39" t="s">
        <v>21</v>
      </c>
      <c r="C98" s="39" t="s">
        <v>137</v>
      </c>
      <c r="D98" s="39" t="s">
        <v>140</v>
      </c>
      <c r="E98" s="65" t="s">
        <v>108</v>
      </c>
      <c r="F98" s="69"/>
      <c r="G98" s="69"/>
      <c r="H98" s="69"/>
      <c r="I98" s="69">
        <v>7.2999999999999995E-2</v>
      </c>
      <c r="J98" s="69"/>
      <c r="K98" s="67">
        <v>9.8000000000000004E-2</v>
      </c>
      <c r="L98" s="66">
        <v>0.109</v>
      </c>
    </row>
    <row r="99" spans="1:12" outlineLevel="1" x14ac:dyDescent="0.2">
      <c r="B99" s="39" t="s">
        <v>21</v>
      </c>
      <c r="C99" s="39" t="s">
        <v>137</v>
      </c>
      <c r="D99" s="39" t="s">
        <v>140</v>
      </c>
      <c r="E99" s="65" t="s">
        <v>109</v>
      </c>
      <c r="F99" s="66">
        <v>3.1E-2</v>
      </c>
      <c r="G99" s="67">
        <v>3.6999999999999998E-2</v>
      </c>
      <c r="H99" s="68">
        <v>4.8000000000000001E-2</v>
      </c>
      <c r="I99" s="69">
        <v>5.2000000000000005E-2</v>
      </c>
      <c r="J99" s="68">
        <v>5.7000000000000002E-2</v>
      </c>
      <c r="K99" s="69"/>
      <c r="L99" s="69"/>
    </row>
    <row r="100" spans="1:12" outlineLevel="1" x14ac:dyDescent="0.2">
      <c r="B100" s="39" t="s">
        <v>21</v>
      </c>
      <c r="C100" s="39" t="s">
        <v>137</v>
      </c>
      <c r="D100" s="39" t="s">
        <v>140</v>
      </c>
      <c r="E100" s="65" t="s">
        <v>110</v>
      </c>
      <c r="F100" s="69"/>
      <c r="G100" s="69"/>
      <c r="H100" s="69"/>
      <c r="I100" s="69">
        <v>1.3000000000000001E-2</v>
      </c>
      <c r="J100" s="69"/>
      <c r="K100" s="67">
        <v>1.7000000000000001E-2</v>
      </c>
      <c r="L100" s="66">
        <v>1.9E-2</v>
      </c>
    </row>
    <row r="101" spans="1:12" outlineLevel="1" x14ac:dyDescent="0.2">
      <c r="B101" s="39" t="s">
        <v>21</v>
      </c>
      <c r="C101" s="39" t="s">
        <v>137</v>
      </c>
      <c r="D101" s="39" t="s">
        <v>140</v>
      </c>
      <c r="E101" s="65" t="s">
        <v>34</v>
      </c>
      <c r="F101" s="69"/>
      <c r="G101" s="69"/>
      <c r="H101" s="68">
        <v>9.4E-2</v>
      </c>
      <c r="I101" s="69">
        <v>0.10400000000000001</v>
      </c>
      <c r="J101" s="68">
        <v>0.11700000000000001</v>
      </c>
      <c r="K101" s="67">
        <v>0.14499999999999999</v>
      </c>
      <c r="L101" s="66">
        <v>0.16700000000000001</v>
      </c>
    </row>
    <row r="102" spans="1:12" outlineLevel="1" x14ac:dyDescent="0.2">
      <c r="B102" s="39" t="s">
        <v>21</v>
      </c>
      <c r="C102" s="39" t="s">
        <v>137</v>
      </c>
      <c r="D102" s="39" t="s">
        <v>140</v>
      </c>
      <c r="E102" s="65" t="s">
        <v>4</v>
      </c>
      <c r="F102" s="71">
        <v>16.5</v>
      </c>
      <c r="G102" s="72">
        <v>17.600000000000001</v>
      </c>
      <c r="H102" s="73">
        <v>19.200000000000003</v>
      </c>
      <c r="I102" s="74">
        <v>20.200000000000003</v>
      </c>
      <c r="J102" s="73">
        <v>20.8</v>
      </c>
      <c r="K102" s="72">
        <v>22.400000000000002</v>
      </c>
      <c r="L102" s="71">
        <v>24</v>
      </c>
    </row>
    <row r="103" spans="1:12" outlineLevel="1" x14ac:dyDescent="0.2">
      <c r="B103" s="39" t="s">
        <v>21</v>
      </c>
      <c r="C103" s="39" t="s">
        <v>137</v>
      </c>
      <c r="D103" s="39" t="s">
        <v>140</v>
      </c>
      <c r="E103" s="65" t="s">
        <v>14</v>
      </c>
      <c r="F103" s="71">
        <v>7.1000000000000005</v>
      </c>
      <c r="G103" s="72">
        <v>7.8000000000000007</v>
      </c>
      <c r="H103" s="73">
        <v>8.7000000000000011</v>
      </c>
      <c r="I103" s="74">
        <v>9.1</v>
      </c>
      <c r="J103" s="73">
        <v>9.5</v>
      </c>
      <c r="K103" s="72">
        <v>10.3</v>
      </c>
      <c r="L103" s="71">
        <v>11.200000000000001</v>
      </c>
    </row>
    <row r="104" spans="1:12" outlineLevel="1" x14ac:dyDescent="0.2">
      <c r="B104" s="39" t="s">
        <v>21</v>
      </c>
      <c r="C104" s="39" t="s">
        <v>137</v>
      </c>
      <c r="D104" s="39" t="s">
        <v>140</v>
      </c>
      <c r="E104" s="65" t="s">
        <v>0</v>
      </c>
      <c r="F104" s="71">
        <v>21.5</v>
      </c>
      <c r="G104" s="72">
        <v>22.8</v>
      </c>
      <c r="H104" s="73">
        <v>24.8</v>
      </c>
      <c r="I104" s="74">
        <v>25.5</v>
      </c>
      <c r="J104" s="73">
        <v>26.3</v>
      </c>
      <c r="K104" s="72">
        <v>27.8</v>
      </c>
      <c r="L104" s="71">
        <v>28.700000000000003</v>
      </c>
    </row>
    <row r="105" spans="1:12" outlineLevel="1" x14ac:dyDescent="0.2"/>
    <row r="106" spans="1:12" x14ac:dyDescent="0.2">
      <c r="A106" s="75">
        <v>3735</v>
      </c>
      <c r="B106" s="39" t="s">
        <v>21</v>
      </c>
      <c r="C106" s="39" t="s">
        <v>138</v>
      </c>
      <c r="D106" s="39" t="s">
        <v>140</v>
      </c>
      <c r="E106" s="153" t="s">
        <v>181</v>
      </c>
    </row>
    <row r="107" spans="1:12" outlineLevel="1" x14ac:dyDescent="0.2">
      <c r="B107" s="39" t="s">
        <v>21</v>
      </c>
      <c r="C107" s="39" t="s">
        <v>138</v>
      </c>
      <c r="D107" s="39" t="s">
        <v>140</v>
      </c>
      <c r="E107" s="65" t="s">
        <v>338</v>
      </c>
      <c r="F107" s="66">
        <v>0.38500000000000001</v>
      </c>
      <c r="G107" s="67">
        <v>0.40800000000000003</v>
      </c>
      <c r="H107" s="68">
        <v>0.437</v>
      </c>
      <c r="I107" s="69">
        <v>0.45</v>
      </c>
      <c r="J107" s="68">
        <v>0.46200000000000002</v>
      </c>
      <c r="K107" s="67">
        <v>0.48799999999999999</v>
      </c>
      <c r="L107" s="66">
        <v>0.50800000000000001</v>
      </c>
    </row>
    <row r="108" spans="1:12" outlineLevel="1" x14ac:dyDescent="0.2">
      <c r="B108" s="39" t="s">
        <v>21</v>
      </c>
      <c r="C108" s="39" t="s">
        <v>138</v>
      </c>
      <c r="D108" s="39" t="s">
        <v>140</v>
      </c>
      <c r="E108" s="65" t="s">
        <v>339</v>
      </c>
      <c r="F108" s="66">
        <v>0.39700000000000002</v>
      </c>
      <c r="G108" s="67">
        <v>0.42</v>
      </c>
      <c r="H108" s="68">
        <v>0.44900000000000001</v>
      </c>
      <c r="I108" s="69">
        <v>0.46200000000000002</v>
      </c>
      <c r="J108" s="68">
        <v>0.47400000000000003</v>
      </c>
      <c r="K108" s="67">
        <v>0.501</v>
      </c>
      <c r="L108" s="66">
        <v>0.52</v>
      </c>
    </row>
    <row r="109" spans="1:12" outlineLevel="1" x14ac:dyDescent="0.2">
      <c r="B109" s="39" t="s">
        <v>21</v>
      </c>
      <c r="C109" s="39" t="s">
        <v>138</v>
      </c>
      <c r="D109" s="39" t="s">
        <v>140</v>
      </c>
      <c r="E109" s="65" t="s">
        <v>351</v>
      </c>
      <c r="F109" s="66">
        <v>0.40900000000000003</v>
      </c>
      <c r="G109" s="67">
        <v>0.432</v>
      </c>
      <c r="H109" s="68">
        <v>0.46200000000000002</v>
      </c>
      <c r="I109" s="69">
        <v>0.47400000000000003</v>
      </c>
      <c r="J109" s="68">
        <v>0.48599999999999999</v>
      </c>
      <c r="K109" s="67">
        <v>0.51300000000000001</v>
      </c>
      <c r="L109" s="66">
        <v>0.53300000000000003</v>
      </c>
    </row>
    <row r="110" spans="1:12" outlineLevel="1" x14ac:dyDescent="0.2">
      <c r="B110" s="39" t="s">
        <v>21</v>
      </c>
      <c r="C110" s="39" t="s">
        <v>138</v>
      </c>
      <c r="D110" s="39" t="s">
        <v>140</v>
      </c>
      <c r="E110" s="65" t="s">
        <v>352</v>
      </c>
      <c r="F110" s="66">
        <v>0.41200000000000003</v>
      </c>
      <c r="G110" s="67">
        <v>0.436</v>
      </c>
      <c r="H110" s="68">
        <v>0.46500000000000002</v>
      </c>
      <c r="I110" s="69">
        <v>0.47800000000000004</v>
      </c>
      <c r="J110" s="68">
        <v>0.49</v>
      </c>
      <c r="K110" s="67">
        <v>0.51600000000000001</v>
      </c>
      <c r="L110" s="66">
        <v>0.53600000000000003</v>
      </c>
    </row>
    <row r="111" spans="1:12" outlineLevel="1" x14ac:dyDescent="0.2">
      <c r="B111" s="39" t="s">
        <v>21</v>
      </c>
      <c r="C111" s="39" t="s">
        <v>138</v>
      </c>
      <c r="D111" s="39" t="s">
        <v>140</v>
      </c>
      <c r="E111" s="65" t="s">
        <v>104</v>
      </c>
      <c r="F111" s="69"/>
      <c r="G111" s="69"/>
      <c r="H111" s="68">
        <v>1.6E-2</v>
      </c>
      <c r="I111" s="69">
        <v>2.1000000000000001E-2</v>
      </c>
      <c r="J111" s="68">
        <v>2.6000000000000002E-2</v>
      </c>
      <c r="K111" s="67">
        <v>3.9E-2</v>
      </c>
      <c r="L111" s="66">
        <v>5.2999999999999999E-2</v>
      </c>
    </row>
    <row r="112" spans="1:12" outlineLevel="1" x14ac:dyDescent="0.2">
      <c r="B112" s="39" t="s">
        <v>21</v>
      </c>
      <c r="C112" s="39" t="s">
        <v>138</v>
      </c>
      <c r="D112" s="39" t="s">
        <v>140</v>
      </c>
      <c r="E112" s="65" t="s">
        <v>105</v>
      </c>
      <c r="F112" s="69"/>
      <c r="G112" s="69"/>
      <c r="H112" s="68">
        <v>0.16400000000000001</v>
      </c>
      <c r="I112" s="69">
        <v>0.17400000000000002</v>
      </c>
      <c r="J112" s="68">
        <v>0.185</v>
      </c>
      <c r="K112" s="67">
        <v>0.21199999999999999</v>
      </c>
      <c r="L112" s="66">
        <v>0.23400000000000001</v>
      </c>
    </row>
    <row r="113" spans="1:12" outlineLevel="1" x14ac:dyDescent="0.2">
      <c r="B113" s="39" t="s">
        <v>21</v>
      </c>
      <c r="C113" s="39" t="s">
        <v>138</v>
      </c>
      <c r="D113" s="39" t="s">
        <v>140</v>
      </c>
      <c r="E113" s="65" t="s">
        <v>106</v>
      </c>
      <c r="F113" s="69"/>
      <c r="G113" s="69"/>
      <c r="H113" s="69"/>
      <c r="I113" s="69">
        <v>3.1E-2</v>
      </c>
      <c r="J113" s="69"/>
      <c r="K113" s="67">
        <v>5.8000000000000003E-2</v>
      </c>
      <c r="L113" s="66">
        <v>7.4999999999999997E-2</v>
      </c>
    </row>
    <row r="114" spans="1:12" outlineLevel="1" x14ac:dyDescent="0.2">
      <c r="B114" s="39" t="s">
        <v>21</v>
      </c>
      <c r="C114" s="39" t="s">
        <v>138</v>
      </c>
      <c r="D114" s="39" t="s">
        <v>140</v>
      </c>
      <c r="E114" s="65" t="s">
        <v>107</v>
      </c>
      <c r="F114" s="69"/>
      <c r="G114" s="69"/>
      <c r="H114" s="69"/>
      <c r="I114" s="69">
        <v>3.6000000000000004E-2</v>
      </c>
      <c r="J114" s="69"/>
      <c r="K114" s="67">
        <v>5.2000000000000005E-2</v>
      </c>
      <c r="L114" s="66">
        <v>6.4000000000000001E-2</v>
      </c>
    </row>
    <row r="115" spans="1:12" outlineLevel="1" x14ac:dyDescent="0.2">
      <c r="B115" s="39" t="s">
        <v>21</v>
      </c>
      <c r="C115" s="39" t="s">
        <v>138</v>
      </c>
      <c r="D115" s="39" t="s">
        <v>140</v>
      </c>
      <c r="E115" s="65" t="s">
        <v>108</v>
      </c>
      <c r="F115" s="69"/>
      <c r="G115" s="69"/>
      <c r="H115" s="69"/>
      <c r="I115" s="69">
        <v>7.0000000000000007E-2</v>
      </c>
      <c r="J115" s="69"/>
      <c r="K115" s="67">
        <v>9.0999999999999998E-2</v>
      </c>
      <c r="L115" s="66">
        <v>0.10300000000000001</v>
      </c>
    </row>
    <row r="116" spans="1:12" outlineLevel="1" x14ac:dyDescent="0.2">
      <c r="B116" s="39" t="s">
        <v>21</v>
      </c>
      <c r="C116" s="39" t="s">
        <v>138</v>
      </c>
      <c r="D116" s="39" t="s">
        <v>140</v>
      </c>
      <c r="E116" s="65" t="s">
        <v>109</v>
      </c>
      <c r="F116" s="66">
        <v>2.8000000000000001E-2</v>
      </c>
      <c r="G116" s="67">
        <v>3.5000000000000003E-2</v>
      </c>
      <c r="H116" s="68">
        <v>4.3999999999999997E-2</v>
      </c>
      <c r="I116" s="69">
        <v>4.9000000000000002E-2</v>
      </c>
      <c r="J116" s="68">
        <v>5.3999999999999999E-2</v>
      </c>
      <c r="K116" s="69"/>
      <c r="L116" s="69"/>
    </row>
    <row r="117" spans="1:12" outlineLevel="1" x14ac:dyDescent="0.2">
      <c r="B117" s="39" t="s">
        <v>21</v>
      </c>
      <c r="C117" s="39" t="s">
        <v>138</v>
      </c>
      <c r="D117" s="39" t="s">
        <v>140</v>
      </c>
      <c r="E117" s="70" t="s">
        <v>110</v>
      </c>
      <c r="F117" s="69"/>
      <c r="G117" s="69"/>
      <c r="H117" s="69"/>
      <c r="I117" s="69">
        <v>1.2E-2</v>
      </c>
      <c r="J117" s="69"/>
      <c r="K117" s="67">
        <v>1.4999999999999999E-2</v>
      </c>
      <c r="L117" s="66">
        <v>1.7000000000000001E-2</v>
      </c>
    </row>
    <row r="118" spans="1:12" outlineLevel="1" x14ac:dyDescent="0.2">
      <c r="B118" s="39" t="s">
        <v>21</v>
      </c>
      <c r="C118" s="39" t="s">
        <v>138</v>
      </c>
      <c r="D118" s="39" t="s">
        <v>140</v>
      </c>
      <c r="E118" s="65" t="s">
        <v>34</v>
      </c>
      <c r="F118" s="69"/>
      <c r="G118" s="69"/>
      <c r="H118" s="68">
        <v>7.9000000000000001E-2</v>
      </c>
      <c r="I118" s="69">
        <v>8.6000000000000007E-2</v>
      </c>
      <c r="J118" s="68">
        <v>9.2999999999999999E-2</v>
      </c>
      <c r="K118" s="67">
        <v>0.112</v>
      </c>
      <c r="L118" s="66">
        <v>0.13</v>
      </c>
    </row>
    <row r="119" spans="1:12" outlineLevel="1" x14ac:dyDescent="0.2">
      <c r="B119" s="39" t="s">
        <v>21</v>
      </c>
      <c r="C119" s="39" t="s">
        <v>138</v>
      </c>
      <c r="D119" s="39" t="s">
        <v>140</v>
      </c>
      <c r="E119" s="65" t="s">
        <v>4</v>
      </c>
      <c r="F119" s="71">
        <v>18.2</v>
      </c>
      <c r="G119" s="72">
        <v>19.400000000000002</v>
      </c>
      <c r="H119" s="73">
        <v>20.900000000000002</v>
      </c>
      <c r="I119" s="74">
        <v>21.6</v>
      </c>
      <c r="J119" s="73">
        <v>22.200000000000003</v>
      </c>
      <c r="K119" s="72">
        <v>23.8</v>
      </c>
      <c r="L119" s="71">
        <v>25.1</v>
      </c>
    </row>
    <row r="120" spans="1:12" outlineLevel="1" x14ac:dyDescent="0.2">
      <c r="B120" s="39" t="s">
        <v>21</v>
      </c>
      <c r="C120" s="39" t="s">
        <v>138</v>
      </c>
      <c r="D120" s="39" t="s">
        <v>140</v>
      </c>
      <c r="E120" s="65" t="s">
        <v>14</v>
      </c>
      <c r="F120" s="71">
        <v>7.8000000000000007</v>
      </c>
      <c r="G120" s="72">
        <v>8.4</v>
      </c>
      <c r="H120" s="73">
        <v>9.3000000000000007</v>
      </c>
      <c r="I120" s="74">
        <v>9.6000000000000014</v>
      </c>
      <c r="J120" s="73">
        <v>10</v>
      </c>
      <c r="K120" s="72">
        <v>11</v>
      </c>
      <c r="L120" s="71">
        <v>11.700000000000001</v>
      </c>
    </row>
    <row r="121" spans="1:12" outlineLevel="1" x14ac:dyDescent="0.2">
      <c r="B121" s="39" t="s">
        <v>21</v>
      </c>
      <c r="C121" s="39" t="s">
        <v>138</v>
      </c>
      <c r="D121" s="39" t="s">
        <v>140</v>
      </c>
      <c r="E121" s="65" t="s">
        <v>0</v>
      </c>
      <c r="F121" s="71">
        <v>24.400000000000002</v>
      </c>
      <c r="G121" s="72">
        <v>25.6</v>
      </c>
      <c r="H121" s="73">
        <v>27.200000000000003</v>
      </c>
      <c r="I121" s="74">
        <v>27.900000000000002</v>
      </c>
      <c r="J121" s="73">
        <v>28.5</v>
      </c>
      <c r="K121" s="72">
        <v>29.6</v>
      </c>
      <c r="L121" s="71">
        <v>30</v>
      </c>
    </row>
    <row r="122" spans="1:12" outlineLevel="1" x14ac:dyDescent="0.2"/>
    <row r="123" spans="1:12" x14ac:dyDescent="0.2">
      <c r="A123" s="75">
        <v>2027</v>
      </c>
      <c r="B123" s="39" t="s">
        <v>21</v>
      </c>
      <c r="C123" s="39" t="s">
        <v>139</v>
      </c>
      <c r="D123" s="39" t="s">
        <v>140</v>
      </c>
      <c r="E123" s="153" t="s">
        <v>182</v>
      </c>
    </row>
    <row r="124" spans="1:12" outlineLevel="1" x14ac:dyDescent="0.2">
      <c r="B124" s="39" t="s">
        <v>21</v>
      </c>
      <c r="C124" s="39" t="s">
        <v>139</v>
      </c>
      <c r="D124" s="39" t="s">
        <v>140</v>
      </c>
      <c r="E124" s="65" t="s">
        <v>338</v>
      </c>
      <c r="F124" s="66">
        <v>0.38400000000000001</v>
      </c>
      <c r="G124" s="67">
        <v>0.40900000000000003</v>
      </c>
      <c r="H124" s="68">
        <v>0.44</v>
      </c>
      <c r="I124" s="69">
        <v>0.45200000000000001</v>
      </c>
      <c r="J124" s="68">
        <v>0.46300000000000002</v>
      </c>
      <c r="K124" s="67">
        <v>0.49</v>
      </c>
      <c r="L124" s="66">
        <v>0.51100000000000001</v>
      </c>
    </row>
    <row r="125" spans="1:12" outlineLevel="1" x14ac:dyDescent="0.2">
      <c r="B125" s="39" t="s">
        <v>21</v>
      </c>
      <c r="C125" s="39" t="s">
        <v>139</v>
      </c>
      <c r="D125" s="39" t="s">
        <v>140</v>
      </c>
      <c r="E125" s="65" t="s">
        <v>339</v>
      </c>
      <c r="F125" s="66">
        <v>0.39600000000000002</v>
      </c>
      <c r="G125" s="67">
        <v>0.42099999999999999</v>
      </c>
      <c r="H125" s="68">
        <v>0.45200000000000001</v>
      </c>
      <c r="I125" s="69">
        <v>0.46400000000000002</v>
      </c>
      <c r="J125" s="68">
        <v>0.47600000000000003</v>
      </c>
      <c r="K125" s="67">
        <v>0.502</v>
      </c>
      <c r="L125" s="66">
        <v>0.52400000000000002</v>
      </c>
    </row>
    <row r="126" spans="1:12" outlineLevel="1" x14ac:dyDescent="0.2">
      <c r="B126" s="39" t="s">
        <v>21</v>
      </c>
      <c r="C126" s="39" t="s">
        <v>139</v>
      </c>
      <c r="D126" s="39" t="s">
        <v>140</v>
      </c>
      <c r="E126" s="65" t="s">
        <v>351</v>
      </c>
      <c r="F126" s="66">
        <v>0.40800000000000003</v>
      </c>
      <c r="G126" s="67">
        <v>0.433</v>
      </c>
      <c r="H126" s="68">
        <v>0.46500000000000002</v>
      </c>
      <c r="I126" s="69">
        <v>0.47700000000000004</v>
      </c>
      <c r="J126" s="68">
        <v>0.48799999999999999</v>
      </c>
      <c r="K126" s="67">
        <v>0.51500000000000001</v>
      </c>
      <c r="L126" s="66">
        <v>0.53600000000000003</v>
      </c>
    </row>
    <row r="127" spans="1:12" outlineLevel="1" x14ac:dyDescent="0.2">
      <c r="B127" s="39" t="s">
        <v>21</v>
      </c>
      <c r="C127" s="39" t="s">
        <v>139</v>
      </c>
      <c r="D127" s="39" t="s">
        <v>140</v>
      </c>
      <c r="E127" s="65" t="s">
        <v>352</v>
      </c>
      <c r="F127" s="66">
        <v>0.41100000000000003</v>
      </c>
      <c r="G127" s="67">
        <v>0.437</v>
      </c>
      <c r="H127" s="68">
        <v>0.46800000000000003</v>
      </c>
      <c r="I127" s="69">
        <v>0.48</v>
      </c>
      <c r="J127" s="68">
        <v>0.49099999999999999</v>
      </c>
      <c r="K127" s="67">
        <v>0.51800000000000002</v>
      </c>
      <c r="L127" s="66">
        <v>0.53900000000000003</v>
      </c>
    </row>
    <row r="128" spans="1:12" outlineLevel="1" x14ac:dyDescent="0.2">
      <c r="B128" s="39" t="s">
        <v>21</v>
      </c>
      <c r="C128" s="39" t="s">
        <v>139</v>
      </c>
      <c r="D128" s="39" t="s">
        <v>140</v>
      </c>
      <c r="E128" s="65" t="s">
        <v>104</v>
      </c>
      <c r="F128" s="69"/>
      <c r="G128" s="69"/>
      <c r="H128" s="68">
        <v>1.4999999999999999E-2</v>
      </c>
      <c r="I128" s="69">
        <v>1.9E-2</v>
      </c>
      <c r="J128" s="68">
        <v>2.5000000000000001E-2</v>
      </c>
      <c r="K128" s="67">
        <v>3.9E-2</v>
      </c>
      <c r="L128" s="66">
        <v>5.2999999999999999E-2</v>
      </c>
    </row>
    <row r="129" spans="1:12" outlineLevel="1" x14ac:dyDescent="0.2">
      <c r="B129" s="39" t="s">
        <v>21</v>
      </c>
      <c r="C129" s="39" t="s">
        <v>139</v>
      </c>
      <c r="D129" s="39" t="s">
        <v>140</v>
      </c>
      <c r="E129" s="65" t="s">
        <v>105</v>
      </c>
      <c r="F129" s="69"/>
      <c r="G129" s="69"/>
      <c r="H129" s="68">
        <v>0.17599999999999999</v>
      </c>
      <c r="I129" s="69">
        <v>0.186</v>
      </c>
      <c r="J129" s="68">
        <v>0.19800000000000001</v>
      </c>
      <c r="K129" s="67">
        <v>0.224</v>
      </c>
      <c r="L129" s="66">
        <v>0.246</v>
      </c>
    </row>
    <row r="130" spans="1:12" outlineLevel="1" x14ac:dyDescent="0.2">
      <c r="B130" s="39" t="s">
        <v>21</v>
      </c>
      <c r="C130" s="39" t="s">
        <v>139</v>
      </c>
      <c r="D130" s="39" t="s">
        <v>140</v>
      </c>
      <c r="E130" s="65" t="s">
        <v>106</v>
      </c>
      <c r="F130" s="69"/>
      <c r="G130" s="69"/>
      <c r="H130" s="69"/>
      <c r="I130" s="69">
        <v>3.2000000000000001E-2</v>
      </c>
      <c r="J130" s="69"/>
      <c r="K130" s="67">
        <v>5.7000000000000002E-2</v>
      </c>
      <c r="L130" s="66">
        <v>7.5999999999999998E-2</v>
      </c>
    </row>
    <row r="131" spans="1:12" outlineLevel="1" x14ac:dyDescent="0.2">
      <c r="B131" s="39" t="s">
        <v>21</v>
      </c>
      <c r="C131" s="39" t="s">
        <v>139</v>
      </c>
      <c r="D131" s="39" t="s">
        <v>140</v>
      </c>
      <c r="E131" s="65" t="s">
        <v>107</v>
      </c>
      <c r="F131" s="69"/>
      <c r="G131" s="69"/>
      <c r="H131" s="69"/>
      <c r="I131" s="69">
        <v>3.4000000000000002E-2</v>
      </c>
      <c r="J131" s="69"/>
      <c r="K131" s="67">
        <v>5.1000000000000004E-2</v>
      </c>
      <c r="L131" s="66">
        <v>6.3E-2</v>
      </c>
    </row>
    <row r="132" spans="1:12" outlineLevel="1" x14ac:dyDescent="0.2">
      <c r="B132" s="39" t="s">
        <v>21</v>
      </c>
      <c r="C132" s="39" t="s">
        <v>139</v>
      </c>
      <c r="D132" s="39" t="s">
        <v>140</v>
      </c>
      <c r="E132" s="65" t="s">
        <v>108</v>
      </c>
      <c r="F132" s="69"/>
      <c r="G132" s="69"/>
      <c r="H132" s="69"/>
      <c r="I132" s="69">
        <v>6.6000000000000003E-2</v>
      </c>
      <c r="J132" s="69"/>
      <c r="K132" s="67">
        <v>8.5000000000000006E-2</v>
      </c>
      <c r="L132" s="66">
        <v>9.9000000000000005E-2</v>
      </c>
    </row>
    <row r="133" spans="1:12" outlineLevel="1" x14ac:dyDescent="0.2">
      <c r="B133" s="39" t="s">
        <v>21</v>
      </c>
      <c r="C133" s="39" t="s">
        <v>139</v>
      </c>
      <c r="D133" s="39" t="s">
        <v>140</v>
      </c>
      <c r="E133" s="65" t="s">
        <v>109</v>
      </c>
      <c r="F133" s="66">
        <v>2.8000000000000001E-2</v>
      </c>
      <c r="G133" s="67">
        <v>3.4000000000000002E-2</v>
      </c>
      <c r="H133" s="68">
        <v>4.2000000000000003E-2</v>
      </c>
      <c r="I133" s="69">
        <v>4.5999999999999999E-2</v>
      </c>
      <c r="J133" s="68">
        <v>0.05</v>
      </c>
      <c r="K133" s="69"/>
      <c r="L133" s="69"/>
    </row>
    <row r="134" spans="1:12" outlineLevel="1" x14ac:dyDescent="0.2">
      <c r="B134" s="39" t="s">
        <v>21</v>
      </c>
      <c r="C134" s="39" t="s">
        <v>139</v>
      </c>
      <c r="D134" s="39" t="s">
        <v>140</v>
      </c>
      <c r="E134" s="70" t="s">
        <v>110</v>
      </c>
      <c r="F134" s="69"/>
      <c r="G134" s="69"/>
      <c r="H134" s="69"/>
      <c r="I134" s="69">
        <v>1.0999999999999999E-2</v>
      </c>
      <c r="J134" s="69"/>
      <c r="K134" s="67">
        <v>1.4E-2</v>
      </c>
      <c r="L134" s="66">
        <v>1.6E-2</v>
      </c>
    </row>
    <row r="135" spans="1:12" outlineLevel="1" x14ac:dyDescent="0.2">
      <c r="B135" s="39" t="s">
        <v>21</v>
      </c>
      <c r="C135" s="39" t="s">
        <v>139</v>
      </c>
      <c r="D135" s="39" t="s">
        <v>140</v>
      </c>
      <c r="E135" s="70" t="s">
        <v>34</v>
      </c>
      <c r="F135" s="69"/>
      <c r="G135" s="69"/>
      <c r="H135" s="68">
        <v>6.3E-2</v>
      </c>
      <c r="I135" s="69">
        <v>6.9000000000000006E-2</v>
      </c>
      <c r="J135" s="68">
        <v>7.4999999999999997E-2</v>
      </c>
      <c r="K135" s="67">
        <v>9.2999999999999999E-2</v>
      </c>
      <c r="L135" s="66">
        <v>0.105</v>
      </c>
    </row>
    <row r="136" spans="1:12" outlineLevel="1" x14ac:dyDescent="0.2">
      <c r="B136" s="39" t="s">
        <v>21</v>
      </c>
      <c r="C136" s="39" t="s">
        <v>139</v>
      </c>
      <c r="D136" s="39" t="s">
        <v>140</v>
      </c>
      <c r="E136" s="70" t="s">
        <v>4</v>
      </c>
      <c r="F136" s="71">
        <v>18.8</v>
      </c>
      <c r="G136" s="72">
        <v>19.8</v>
      </c>
      <c r="H136" s="73">
        <v>21.3</v>
      </c>
      <c r="I136" s="74">
        <v>21.900000000000002</v>
      </c>
      <c r="J136" s="73">
        <v>22.5</v>
      </c>
      <c r="K136" s="72">
        <v>23.900000000000002</v>
      </c>
      <c r="L136" s="71">
        <v>25.200000000000003</v>
      </c>
    </row>
    <row r="137" spans="1:12" outlineLevel="1" x14ac:dyDescent="0.2">
      <c r="B137" s="39" t="s">
        <v>21</v>
      </c>
      <c r="C137" s="39" t="s">
        <v>139</v>
      </c>
      <c r="D137" s="39" t="s">
        <v>140</v>
      </c>
      <c r="E137" s="70" t="s">
        <v>14</v>
      </c>
      <c r="F137" s="71">
        <v>8</v>
      </c>
      <c r="G137" s="72">
        <v>8.7000000000000011</v>
      </c>
      <c r="H137" s="73">
        <v>9.4</v>
      </c>
      <c r="I137" s="74">
        <v>9.8000000000000007</v>
      </c>
      <c r="J137" s="73">
        <v>10.200000000000001</v>
      </c>
      <c r="K137" s="72">
        <v>11.100000000000001</v>
      </c>
      <c r="L137" s="71">
        <v>11.8</v>
      </c>
    </row>
    <row r="138" spans="1:12" outlineLevel="1" x14ac:dyDescent="0.2">
      <c r="B138" s="39" t="s">
        <v>21</v>
      </c>
      <c r="C138" s="39" t="s">
        <v>139</v>
      </c>
      <c r="D138" s="39" t="s">
        <v>140</v>
      </c>
      <c r="E138" s="70" t="s">
        <v>0</v>
      </c>
      <c r="F138" s="71">
        <v>26.1</v>
      </c>
      <c r="G138" s="72">
        <v>27.1</v>
      </c>
      <c r="H138" s="73">
        <v>28.3</v>
      </c>
      <c r="I138" s="74">
        <v>28.8</v>
      </c>
      <c r="J138" s="73">
        <v>29.1</v>
      </c>
      <c r="K138" s="72">
        <v>29.8</v>
      </c>
      <c r="L138" s="71">
        <v>30.1</v>
      </c>
    </row>
    <row r="139" spans="1:12" outlineLevel="1" x14ac:dyDescent="0.2"/>
    <row r="140" spans="1:12" x14ac:dyDescent="0.2">
      <c r="A140" s="59">
        <v>214</v>
      </c>
      <c r="B140" s="39" t="s">
        <v>21</v>
      </c>
      <c r="C140" s="39" t="s">
        <v>135</v>
      </c>
      <c r="D140" s="39" t="s">
        <v>141</v>
      </c>
      <c r="E140" s="153" t="s">
        <v>184</v>
      </c>
    </row>
    <row r="141" spans="1:12" outlineLevel="1" x14ac:dyDescent="0.2">
      <c r="B141" s="39" t="s">
        <v>21</v>
      </c>
      <c r="C141" s="39" t="s">
        <v>135</v>
      </c>
      <c r="D141" s="39" t="s">
        <v>141</v>
      </c>
      <c r="E141" s="65" t="s">
        <v>338</v>
      </c>
      <c r="F141" s="66">
        <v>0.34900000000000003</v>
      </c>
      <c r="G141" s="67">
        <v>0.375</v>
      </c>
      <c r="H141" s="68">
        <v>0.41200000000000003</v>
      </c>
      <c r="I141" s="69">
        <v>0.42599999999999999</v>
      </c>
      <c r="J141" s="68">
        <v>0.44500000000000001</v>
      </c>
      <c r="K141" s="67">
        <v>0.48699999999999999</v>
      </c>
      <c r="L141" s="66">
        <v>0.51400000000000001</v>
      </c>
    </row>
    <row r="142" spans="1:12" outlineLevel="1" x14ac:dyDescent="0.2">
      <c r="B142" s="39" t="s">
        <v>21</v>
      </c>
      <c r="C142" s="39" t="s">
        <v>135</v>
      </c>
      <c r="D142" s="39" t="s">
        <v>141</v>
      </c>
      <c r="E142" s="65" t="s">
        <v>339</v>
      </c>
      <c r="F142" s="66">
        <v>0.36</v>
      </c>
      <c r="G142" s="67">
        <v>0.38700000000000001</v>
      </c>
      <c r="H142" s="68">
        <v>0.42399999999999999</v>
      </c>
      <c r="I142" s="69">
        <v>0.438</v>
      </c>
      <c r="J142" s="68">
        <v>0.45700000000000002</v>
      </c>
      <c r="K142" s="67">
        <v>0.499</v>
      </c>
      <c r="L142" s="66">
        <v>0.52700000000000002</v>
      </c>
    </row>
    <row r="143" spans="1:12" outlineLevel="1" x14ac:dyDescent="0.2">
      <c r="B143" s="39" t="s">
        <v>21</v>
      </c>
      <c r="C143" s="39" t="s">
        <v>135</v>
      </c>
      <c r="D143" s="39" t="s">
        <v>141</v>
      </c>
      <c r="E143" s="65" t="s">
        <v>351</v>
      </c>
      <c r="F143" s="66">
        <v>0.372</v>
      </c>
      <c r="G143" s="67">
        <v>0.39900000000000002</v>
      </c>
      <c r="H143" s="68">
        <v>0.437</v>
      </c>
      <c r="I143" s="69">
        <v>0.45100000000000001</v>
      </c>
      <c r="J143" s="68">
        <v>0.46900000000000003</v>
      </c>
      <c r="K143" s="67">
        <v>0.51200000000000001</v>
      </c>
      <c r="L143" s="66">
        <v>0.53900000000000003</v>
      </c>
    </row>
    <row r="144" spans="1:12" outlineLevel="1" x14ac:dyDescent="0.2">
      <c r="B144" s="39" t="s">
        <v>21</v>
      </c>
      <c r="C144" s="39" t="s">
        <v>135</v>
      </c>
      <c r="D144" s="39" t="s">
        <v>141</v>
      </c>
      <c r="E144" s="65" t="s">
        <v>352</v>
      </c>
      <c r="F144" s="66">
        <v>0.375</v>
      </c>
      <c r="G144" s="67">
        <v>0.40200000000000002</v>
      </c>
      <c r="H144" s="68">
        <v>0.44</v>
      </c>
      <c r="I144" s="69">
        <v>0.45400000000000001</v>
      </c>
      <c r="J144" s="68">
        <v>0.47200000000000003</v>
      </c>
      <c r="K144" s="67">
        <v>0.51500000000000001</v>
      </c>
      <c r="L144" s="66">
        <v>0.54200000000000004</v>
      </c>
    </row>
    <row r="145" spans="1:12" outlineLevel="1" x14ac:dyDescent="0.2">
      <c r="B145" s="39" t="s">
        <v>21</v>
      </c>
      <c r="C145" s="39" t="s">
        <v>135</v>
      </c>
      <c r="D145" s="39" t="s">
        <v>141</v>
      </c>
      <c r="E145" s="65" t="s">
        <v>104</v>
      </c>
      <c r="F145" s="69"/>
      <c r="G145" s="69"/>
      <c r="H145" s="68">
        <v>1.7000000000000001E-2</v>
      </c>
      <c r="I145" s="69">
        <v>2.1999999999999999E-2</v>
      </c>
      <c r="J145" s="68">
        <v>3.1E-2</v>
      </c>
      <c r="K145" s="67">
        <v>0.05</v>
      </c>
      <c r="L145" s="66">
        <v>7.3999999999999996E-2</v>
      </c>
    </row>
    <row r="146" spans="1:12" outlineLevel="1" x14ac:dyDescent="0.2">
      <c r="B146" s="39" t="s">
        <v>21</v>
      </c>
      <c r="C146" s="39" t="s">
        <v>135</v>
      </c>
      <c r="D146" s="39" t="s">
        <v>141</v>
      </c>
      <c r="E146" s="65" t="s">
        <v>105</v>
      </c>
      <c r="F146" s="69"/>
      <c r="G146" s="69"/>
      <c r="H146" s="68">
        <v>0.14100000000000001</v>
      </c>
      <c r="I146" s="69">
        <v>0.153</v>
      </c>
      <c r="J146" s="68">
        <v>0.16700000000000001</v>
      </c>
      <c r="K146" s="67">
        <v>0.19500000000000001</v>
      </c>
      <c r="L146" s="66">
        <v>0.22500000000000001</v>
      </c>
    </row>
    <row r="147" spans="1:12" outlineLevel="1" x14ac:dyDescent="0.2">
      <c r="B147" s="39" t="s">
        <v>21</v>
      </c>
      <c r="C147" s="39" t="s">
        <v>135</v>
      </c>
      <c r="D147" s="39" t="s">
        <v>141</v>
      </c>
      <c r="E147" s="65" t="s">
        <v>106</v>
      </c>
      <c r="F147" s="69"/>
      <c r="G147" s="69"/>
      <c r="H147" s="69"/>
      <c r="I147" s="69">
        <v>2.9000000000000001E-2</v>
      </c>
      <c r="J147" s="69"/>
      <c r="K147" s="67">
        <v>0.06</v>
      </c>
      <c r="L147" s="66">
        <v>7.4999999999999997E-2</v>
      </c>
    </row>
    <row r="148" spans="1:12" outlineLevel="1" x14ac:dyDescent="0.2">
      <c r="B148" s="39" t="s">
        <v>21</v>
      </c>
      <c r="C148" s="39" t="s">
        <v>135</v>
      </c>
      <c r="D148" s="39" t="s">
        <v>141</v>
      </c>
      <c r="E148" s="65" t="s">
        <v>107</v>
      </c>
      <c r="F148" s="69"/>
      <c r="G148" s="69"/>
      <c r="H148" s="69"/>
      <c r="I148" s="69">
        <v>3.6000000000000004E-2</v>
      </c>
      <c r="J148" s="69"/>
      <c r="K148" s="67">
        <v>5.7000000000000002E-2</v>
      </c>
      <c r="L148" s="66">
        <v>7.6999999999999999E-2</v>
      </c>
    </row>
    <row r="149" spans="1:12" outlineLevel="1" x14ac:dyDescent="0.2">
      <c r="B149" s="39" t="s">
        <v>21</v>
      </c>
      <c r="C149" s="39" t="s">
        <v>135</v>
      </c>
      <c r="D149" s="39" t="s">
        <v>141</v>
      </c>
      <c r="E149" s="65" t="s">
        <v>108</v>
      </c>
      <c r="F149" s="69"/>
      <c r="G149" s="69"/>
      <c r="H149" s="69"/>
      <c r="I149" s="69">
        <v>7.4999999999999997E-2</v>
      </c>
      <c r="J149" s="69"/>
      <c r="K149" s="67">
        <v>0.105</v>
      </c>
      <c r="L149" s="66">
        <v>0.124</v>
      </c>
    </row>
    <row r="150" spans="1:12" outlineLevel="1" x14ac:dyDescent="0.2">
      <c r="B150" s="39" t="s">
        <v>21</v>
      </c>
      <c r="C150" s="39" t="s">
        <v>135</v>
      </c>
      <c r="D150" s="39" t="s">
        <v>141</v>
      </c>
      <c r="E150" s="65" t="s">
        <v>109</v>
      </c>
      <c r="F150" s="66">
        <v>2.8000000000000001E-2</v>
      </c>
      <c r="G150" s="67">
        <v>3.6000000000000004E-2</v>
      </c>
      <c r="H150" s="68">
        <v>4.7E-2</v>
      </c>
      <c r="I150" s="69">
        <v>5.2999999999999999E-2</v>
      </c>
      <c r="J150" s="68">
        <v>5.7000000000000002E-2</v>
      </c>
      <c r="K150" s="69"/>
      <c r="L150" s="69"/>
    </row>
    <row r="151" spans="1:12" outlineLevel="1" x14ac:dyDescent="0.2">
      <c r="B151" s="39" t="s">
        <v>21</v>
      </c>
      <c r="C151" s="39" t="s">
        <v>135</v>
      </c>
      <c r="D151" s="39" t="s">
        <v>141</v>
      </c>
      <c r="E151" s="70" t="s">
        <v>110</v>
      </c>
      <c r="F151" s="69"/>
      <c r="G151" s="69"/>
      <c r="H151" s="69"/>
      <c r="I151" s="69">
        <v>1.6E-2</v>
      </c>
      <c r="J151" s="69"/>
      <c r="K151" s="67">
        <v>2.1000000000000001E-2</v>
      </c>
      <c r="L151" s="66">
        <v>2.4E-2</v>
      </c>
    </row>
    <row r="152" spans="1:12" outlineLevel="1" x14ac:dyDescent="0.2">
      <c r="B152" s="39" t="s">
        <v>21</v>
      </c>
      <c r="C152" s="39" t="s">
        <v>135</v>
      </c>
      <c r="D152" s="39" t="s">
        <v>141</v>
      </c>
      <c r="E152" s="65" t="s">
        <v>34</v>
      </c>
      <c r="F152" s="69"/>
      <c r="G152" s="69"/>
      <c r="H152" s="68">
        <v>0.106</v>
      </c>
      <c r="I152" s="69">
        <v>0.12</v>
      </c>
      <c r="J152" s="68">
        <v>0.13600000000000001</v>
      </c>
      <c r="K152" s="67">
        <v>0.17</v>
      </c>
      <c r="L152" s="66">
        <v>0.2</v>
      </c>
    </row>
    <row r="153" spans="1:12" outlineLevel="1" x14ac:dyDescent="0.2">
      <c r="B153" s="39" t="s">
        <v>21</v>
      </c>
      <c r="C153" s="39" t="s">
        <v>135</v>
      </c>
      <c r="D153" s="39" t="s">
        <v>141</v>
      </c>
      <c r="E153" s="65" t="s">
        <v>4</v>
      </c>
      <c r="F153" s="71">
        <v>10.3</v>
      </c>
      <c r="G153" s="72">
        <v>12.8</v>
      </c>
      <c r="H153" s="73">
        <v>14.8</v>
      </c>
      <c r="I153" s="74">
        <v>15.700000000000001</v>
      </c>
      <c r="J153" s="73">
        <v>16.7</v>
      </c>
      <c r="K153" s="72">
        <v>19.100000000000001</v>
      </c>
      <c r="L153" s="71">
        <v>21.5</v>
      </c>
    </row>
    <row r="154" spans="1:12" outlineLevel="1" x14ac:dyDescent="0.2">
      <c r="B154" s="39" t="s">
        <v>21</v>
      </c>
      <c r="C154" s="39" t="s">
        <v>135</v>
      </c>
      <c r="D154" s="39" t="s">
        <v>141</v>
      </c>
      <c r="E154" s="65" t="s">
        <v>14</v>
      </c>
      <c r="F154" s="71">
        <v>4.7</v>
      </c>
      <c r="G154" s="72">
        <v>5.3000000000000007</v>
      </c>
      <c r="H154" s="73">
        <v>6.3000000000000007</v>
      </c>
      <c r="I154" s="74">
        <v>6.8000000000000007</v>
      </c>
      <c r="J154" s="73">
        <v>7.2</v>
      </c>
      <c r="K154" s="72">
        <v>8.4</v>
      </c>
      <c r="L154" s="71">
        <v>9.4</v>
      </c>
    </row>
    <row r="155" spans="1:12" outlineLevel="1" x14ac:dyDescent="0.2">
      <c r="B155" s="39" t="s">
        <v>21</v>
      </c>
      <c r="C155" s="39" t="s">
        <v>135</v>
      </c>
      <c r="D155" s="39" t="s">
        <v>141</v>
      </c>
      <c r="E155" s="65" t="s">
        <v>0</v>
      </c>
      <c r="F155" s="71">
        <v>12.3</v>
      </c>
      <c r="G155" s="72">
        <v>15</v>
      </c>
      <c r="H155" s="73">
        <v>18</v>
      </c>
      <c r="I155" s="74">
        <v>19.3</v>
      </c>
      <c r="J155" s="73">
        <v>21</v>
      </c>
      <c r="K155" s="72">
        <v>24</v>
      </c>
      <c r="L155" s="71">
        <v>25.900000000000002</v>
      </c>
    </row>
    <row r="156" spans="1:12" outlineLevel="1" x14ac:dyDescent="0.2"/>
    <row r="157" spans="1:12" x14ac:dyDescent="0.2">
      <c r="A157" s="59">
        <v>370</v>
      </c>
      <c r="B157" s="39" t="s">
        <v>21</v>
      </c>
      <c r="C157" s="39" t="s">
        <v>137</v>
      </c>
      <c r="D157" s="39" t="s">
        <v>141</v>
      </c>
      <c r="E157" s="153" t="s">
        <v>183</v>
      </c>
    </row>
    <row r="158" spans="1:12" outlineLevel="1" x14ac:dyDescent="0.2">
      <c r="B158" s="39" t="s">
        <v>21</v>
      </c>
      <c r="C158" s="39" t="s">
        <v>137</v>
      </c>
      <c r="D158" s="39" t="s">
        <v>141</v>
      </c>
      <c r="E158" s="65" t="s">
        <v>338</v>
      </c>
      <c r="F158" s="66">
        <v>0.36299999999999999</v>
      </c>
      <c r="G158" s="67">
        <v>0.39100000000000001</v>
      </c>
      <c r="H158" s="68">
        <v>0.42099999999999999</v>
      </c>
      <c r="I158" s="69">
        <v>0.436</v>
      </c>
      <c r="J158" s="68">
        <v>0.45200000000000001</v>
      </c>
      <c r="K158" s="67">
        <v>0.48199999999999998</v>
      </c>
      <c r="L158" s="66">
        <v>0.5</v>
      </c>
    </row>
    <row r="159" spans="1:12" outlineLevel="1" x14ac:dyDescent="0.2">
      <c r="B159" s="39" t="s">
        <v>21</v>
      </c>
      <c r="C159" s="39" t="s">
        <v>137</v>
      </c>
      <c r="D159" s="39" t="s">
        <v>141</v>
      </c>
      <c r="E159" s="65" t="s">
        <v>339</v>
      </c>
      <c r="F159" s="66">
        <v>0.375</v>
      </c>
      <c r="G159" s="67">
        <v>0.40300000000000002</v>
      </c>
      <c r="H159" s="68">
        <v>0.433</v>
      </c>
      <c r="I159" s="69">
        <v>0.44800000000000001</v>
      </c>
      <c r="J159" s="68">
        <v>0.46500000000000002</v>
      </c>
      <c r="K159" s="67">
        <v>0.49399999999999999</v>
      </c>
      <c r="L159" s="66">
        <v>0.51300000000000001</v>
      </c>
    </row>
    <row r="160" spans="1:12" outlineLevel="1" x14ac:dyDescent="0.2">
      <c r="B160" s="39" t="s">
        <v>21</v>
      </c>
      <c r="C160" s="39" t="s">
        <v>137</v>
      </c>
      <c r="D160" s="39" t="s">
        <v>141</v>
      </c>
      <c r="E160" s="65" t="s">
        <v>351</v>
      </c>
      <c r="F160" s="66">
        <v>0.38700000000000001</v>
      </c>
      <c r="G160" s="67">
        <v>0.41500000000000004</v>
      </c>
      <c r="H160" s="68">
        <v>0.44600000000000001</v>
      </c>
      <c r="I160" s="69">
        <v>0.46100000000000002</v>
      </c>
      <c r="J160" s="68">
        <v>0.47700000000000004</v>
      </c>
      <c r="K160" s="67">
        <v>0.50600000000000001</v>
      </c>
      <c r="L160" s="66">
        <v>0.52500000000000002</v>
      </c>
    </row>
    <row r="161" spans="1:12" outlineLevel="1" x14ac:dyDescent="0.2">
      <c r="B161" s="39" t="s">
        <v>21</v>
      </c>
      <c r="C161" s="39" t="s">
        <v>137</v>
      </c>
      <c r="D161" s="39" t="s">
        <v>141</v>
      </c>
      <c r="E161" s="65" t="s">
        <v>352</v>
      </c>
      <c r="F161" s="66">
        <v>0.39</v>
      </c>
      <c r="G161" s="67">
        <v>0.41799999999999998</v>
      </c>
      <c r="H161" s="68">
        <v>0.44900000000000001</v>
      </c>
      <c r="I161" s="69">
        <v>0.46400000000000002</v>
      </c>
      <c r="J161" s="68">
        <v>0.48</v>
      </c>
      <c r="K161" s="67">
        <v>0.51</v>
      </c>
      <c r="L161" s="66">
        <v>0.52900000000000003</v>
      </c>
    </row>
    <row r="162" spans="1:12" outlineLevel="1" x14ac:dyDescent="0.2">
      <c r="B162" s="39" t="s">
        <v>21</v>
      </c>
      <c r="C162" s="39" t="s">
        <v>137</v>
      </c>
      <c r="D162" s="39" t="s">
        <v>141</v>
      </c>
      <c r="E162" s="65" t="s">
        <v>104</v>
      </c>
      <c r="F162" s="69"/>
      <c r="G162" s="69"/>
      <c r="H162" s="68">
        <v>1.9E-2</v>
      </c>
      <c r="I162" s="69">
        <v>2.5000000000000001E-2</v>
      </c>
      <c r="J162" s="68">
        <v>3.1E-2</v>
      </c>
      <c r="K162" s="67">
        <v>4.9000000000000002E-2</v>
      </c>
      <c r="L162" s="66">
        <v>6.3E-2</v>
      </c>
    </row>
    <row r="163" spans="1:12" outlineLevel="1" x14ac:dyDescent="0.2">
      <c r="B163" s="39" t="s">
        <v>21</v>
      </c>
      <c r="C163" s="39" t="s">
        <v>137</v>
      </c>
      <c r="D163" s="39" t="s">
        <v>141</v>
      </c>
      <c r="E163" s="65" t="s">
        <v>105</v>
      </c>
      <c r="F163" s="69"/>
      <c r="G163" s="69"/>
      <c r="H163" s="68">
        <v>0.16200000000000001</v>
      </c>
      <c r="I163" s="69">
        <v>0.17300000000000001</v>
      </c>
      <c r="J163" s="68">
        <v>0.185</v>
      </c>
      <c r="K163" s="67">
        <v>0.21</v>
      </c>
      <c r="L163" s="66">
        <v>0.23100000000000001</v>
      </c>
    </row>
    <row r="164" spans="1:12" outlineLevel="1" x14ac:dyDescent="0.2">
      <c r="B164" s="39" t="s">
        <v>21</v>
      </c>
      <c r="C164" s="39" t="s">
        <v>137</v>
      </c>
      <c r="D164" s="39" t="s">
        <v>141</v>
      </c>
      <c r="E164" s="65" t="s">
        <v>106</v>
      </c>
      <c r="F164" s="69"/>
      <c r="G164" s="69"/>
      <c r="H164" s="69"/>
      <c r="I164" s="69">
        <v>3.5000000000000003E-2</v>
      </c>
      <c r="J164" s="69"/>
      <c r="K164" s="67">
        <v>6.2E-2</v>
      </c>
      <c r="L164" s="66">
        <v>8.1000000000000003E-2</v>
      </c>
    </row>
    <row r="165" spans="1:12" outlineLevel="1" x14ac:dyDescent="0.2">
      <c r="B165" s="39" t="s">
        <v>21</v>
      </c>
      <c r="C165" s="39" t="s">
        <v>137</v>
      </c>
      <c r="D165" s="39" t="s">
        <v>141</v>
      </c>
      <c r="E165" s="65" t="s">
        <v>107</v>
      </c>
      <c r="F165" s="69"/>
      <c r="G165" s="69"/>
      <c r="H165" s="69"/>
      <c r="I165" s="69">
        <v>3.5000000000000003E-2</v>
      </c>
      <c r="J165" s="69"/>
      <c r="K165" s="67">
        <v>5.3999999999999999E-2</v>
      </c>
      <c r="L165" s="66">
        <v>6.5000000000000002E-2</v>
      </c>
    </row>
    <row r="166" spans="1:12" outlineLevel="1" x14ac:dyDescent="0.2">
      <c r="B166" s="39" t="s">
        <v>21</v>
      </c>
      <c r="C166" s="39" t="s">
        <v>137</v>
      </c>
      <c r="D166" s="39" t="s">
        <v>141</v>
      </c>
      <c r="E166" s="65" t="s">
        <v>108</v>
      </c>
      <c r="F166" s="69"/>
      <c r="G166" s="69"/>
      <c r="H166" s="69"/>
      <c r="I166" s="69">
        <v>6.9000000000000006E-2</v>
      </c>
      <c r="J166" s="69"/>
      <c r="K166" s="67">
        <v>9.4E-2</v>
      </c>
      <c r="L166" s="66">
        <v>0.112</v>
      </c>
    </row>
    <row r="167" spans="1:12" outlineLevel="1" x14ac:dyDescent="0.2">
      <c r="B167" s="39" t="s">
        <v>21</v>
      </c>
      <c r="C167" s="39" t="s">
        <v>137</v>
      </c>
      <c r="D167" s="39" t="s">
        <v>141</v>
      </c>
      <c r="E167" s="65" t="s">
        <v>109</v>
      </c>
      <c r="F167" s="66">
        <v>2.6000000000000002E-2</v>
      </c>
      <c r="G167" s="67">
        <v>3.4000000000000002E-2</v>
      </c>
      <c r="H167" s="68">
        <v>4.3999999999999997E-2</v>
      </c>
      <c r="I167" s="69">
        <v>4.7E-2</v>
      </c>
      <c r="J167" s="68">
        <v>5.2999999999999999E-2</v>
      </c>
      <c r="K167" s="69"/>
      <c r="L167" s="69"/>
    </row>
    <row r="168" spans="1:12" outlineLevel="1" x14ac:dyDescent="0.2">
      <c r="B168" s="39" t="s">
        <v>21</v>
      </c>
      <c r="C168" s="39" t="s">
        <v>137</v>
      </c>
      <c r="D168" s="39" t="s">
        <v>141</v>
      </c>
      <c r="E168" s="65" t="s">
        <v>110</v>
      </c>
      <c r="F168" s="69"/>
      <c r="G168" s="69"/>
      <c r="H168" s="69"/>
      <c r="I168" s="69">
        <v>1.4E-2</v>
      </c>
      <c r="J168" s="69"/>
      <c r="K168" s="67">
        <v>1.8000000000000002E-2</v>
      </c>
      <c r="L168" s="66">
        <v>2.1999999999999999E-2</v>
      </c>
    </row>
    <row r="169" spans="1:12" outlineLevel="1" x14ac:dyDescent="0.2">
      <c r="B169" s="39" t="s">
        <v>21</v>
      </c>
      <c r="C169" s="39" t="s">
        <v>137</v>
      </c>
      <c r="D169" s="39" t="s">
        <v>141</v>
      </c>
      <c r="E169" s="65" t="s">
        <v>34</v>
      </c>
      <c r="F169" s="69"/>
      <c r="G169" s="69"/>
      <c r="H169" s="68">
        <v>9.8000000000000004E-2</v>
      </c>
      <c r="I169" s="69">
        <v>0.106</v>
      </c>
      <c r="J169" s="68">
        <v>0.11700000000000001</v>
      </c>
      <c r="K169" s="67">
        <v>0.13500000000000001</v>
      </c>
      <c r="L169" s="66">
        <v>0.155</v>
      </c>
    </row>
    <row r="170" spans="1:12" outlineLevel="1" x14ac:dyDescent="0.2">
      <c r="B170" s="39" t="s">
        <v>21</v>
      </c>
      <c r="C170" s="39" t="s">
        <v>137</v>
      </c>
      <c r="D170" s="39" t="s">
        <v>141</v>
      </c>
      <c r="E170" s="65" t="s">
        <v>4</v>
      </c>
      <c r="F170" s="71">
        <v>14.4</v>
      </c>
      <c r="G170" s="72">
        <v>15.8</v>
      </c>
      <c r="H170" s="73">
        <v>17.400000000000002</v>
      </c>
      <c r="I170" s="74">
        <v>18</v>
      </c>
      <c r="J170" s="73">
        <v>18.8</v>
      </c>
      <c r="K170" s="72">
        <v>20.6</v>
      </c>
      <c r="L170" s="71">
        <v>21.900000000000002</v>
      </c>
    </row>
    <row r="171" spans="1:12" outlineLevel="1" x14ac:dyDescent="0.2">
      <c r="B171" s="39" t="s">
        <v>21</v>
      </c>
      <c r="C171" s="39" t="s">
        <v>137</v>
      </c>
      <c r="D171" s="39" t="s">
        <v>141</v>
      </c>
      <c r="E171" s="65" t="s">
        <v>14</v>
      </c>
      <c r="F171" s="71">
        <v>6.2</v>
      </c>
      <c r="G171" s="72">
        <v>6.8000000000000007</v>
      </c>
      <c r="H171" s="73">
        <v>7.7</v>
      </c>
      <c r="I171" s="74">
        <v>7.9</v>
      </c>
      <c r="J171" s="73">
        <v>8.2000000000000011</v>
      </c>
      <c r="K171" s="72">
        <v>9.2000000000000011</v>
      </c>
      <c r="L171" s="71">
        <v>9.8000000000000007</v>
      </c>
    </row>
    <row r="172" spans="1:12" outlineLevel="1" x14ac:dyDescent="0.2">
      <c r="B172" s="39" t="s">
        <v>21</v>
      </c>
      <c r="C172" s="39" t="s">
        <v>137</v>
      </c>
      <c r="D172" s="39" t="s">
        <v>141</v>
      </c>
      <c r="E172" s="65" t="s">
        <v>0</v>
      </c>
      <c r="F172" s="71">
        <v>19</v>
      </c>
      <c r="G172" s="72">
        <v>20.400000000000002</v>
      </c>
      <c r="H172" s="73">
        <v>22</v>
      </c>
      <c r="I172" s="74">
        <v>22.900000000000002</v>
      </c>
      <c r="J172" s="73">
        <v>23.6</v>
      </c>
      <c r="K172" s="72">
        <v>25.3</v>
      </c>
      <c r="L172" s="71">
        <v>26.8</v>
      </c>
    </row>
    <row r="173" spans="1:12" outlineLevel="1" x14ac:dyDescent="0.2"/>
    <row r="174" spans="1:12" x14ac:dyDescent="0.2">
      <c r="A174" s="75">
        <v>2197</v>
      </c>
      <c r="B174" s="39" t="s">
        <v>21</v>
      </c>
      <c r="C174" s="39" t="s">
        <v>138</v>
      </c>
      <c r="D174" s="39" t="s">
        <v>141</v>
      </c>
      <c r="E174" s="153" t="s">
        <v>185</v>
      </c>
    </row>
    <row r="175" spans="1:12" outlineLevel="1" x14ac:dyDescent="0.2">
      <c r="B175" s="39" t="s">
        <v>21</v>
      </c>
      <c r="C175" s="39" t="s">
        <v>138</v>
      </c>
      <c r="D175" s="39" t="s">
        <v>141</v>
      </c>
      <c r="E175" s="65" t="s">
        <v>338</v>
      </c>
      <c r="F175" s="66">
        <v>0.35799999999999998</v>
      </c>
      <c r="G175" s="67">
        <v>0.38300000000000001</v>
      </c>
      <c r="H175" s="68">
        <v>0.41100000000000003</v>
      </c>
      <c r="I175" s="69">
        <v>0.42299999999999999</v>
      </c>
      <c r="J175" s="68">
        <v>0.435</v>
      </c>
      <c r="K175" s="67">
        <v>0.46500000000000002</v>
      </c>
      <c r="L175" s="66">
        <v>0.48599999999999999</v>
      </c>
    </row>
    <row r="176" spans="1:12" outlineLevel="1" x14ac:dyDescent="0.2">
      <c r="B176" s="39" t="s">
        <v>21</v>
      </c>
      <c r="C176" s="39" t="s">
        <v>138</v>
      </c>
      <c r="D176" s="39" t="s">
        <v>141</v>
      </c>
      <c r="E176" s="65" t="s">
        <v>339</v>
      </c>
      <c r="F176" s="66">
        <v>0.37</v>
      </c>
      <c r="G176" s="67">
        <v>0.39400000000000002</v>
      </c>
      <c r="H176" s="68">
        <v>0.42299999999999999</v>
      </c>
      <c r="I176" s="69">
        <v>0.435</v>
      </c>
      <c r="J176" s="68">
        <v>0.44700000000000001</v>
      </c>
      <c r="K176" s="67">
        <v>0.47800000000000004</v>
      </c>
      <c r="L176" s="66">
        <v>0.499</v>
      </c>
    </row>
    <row r="177" spans="1:12" outlineLevel="1" x14ac:dyDescent="0.2">
      <c r="B177" s="39" t="s">
        <v>21</v>
      </c>
      <c r="C177" s="39" t="s">
        <v>138</v>
      </c>
      <c r="D177" s="39" t="s">
        <v>141</v>
      </c>
      <c r="E177" s="65" t="s">
        <v>351</v>
      </c>
      <c r="F177" s="66">
        <v>0.38200000000000001</v>
      </c>
      <c r="G177" s="67">
        <v>0.40600000000000003</v>
      </c>
      <c r="H177" s="68">
        <v>0.436</v>
      </c>
      <c r="I177" s="69">
        <v>0.44700000000000001</v>
      </c>
      <c r="J177" s="68">
        <v>0.46</v>
      </c>
      <c r="K177" s="67">
        <v>0.49</v>
      </c>
      <c r="L177" s="66">
        <v>0.51100000000000001</v>
      </c>
    </row>
    <row r="178" spans="1:12" outlineLevel="1" x14ac:dyDescent="0.2">
      <c r="B178" s="39" t="s">
        <v>21</v>
      </c>
      <c r="C178" s="39" t="s">
        <v>138</v>
      </c>
      <c r="D178" s="39" t="s">
        <v>141</v>
      </c>
      <c r="E178" s="65" t="s">
        <v>352</v>
      </c>
      <c r="F178" s="66">
        <v>0.38400000000000001</v>
      </c>
      <c r="G178" s="67">
        <v>0.40900000000000003</v>
      </c>
      <c r="H178" s="68">
        <v>0.439</v>
      </c>
      <c r="I178" s="69">
        <v>0.45</v>
      </c>
      <c r="J178" s="68">
        <v>0.46300000000000002</v>
      </c>
      <c r="K178" s="67">
        <v>0.49299999999999999</v>
      </c>
      <c r="L178" s="66">
        <v>0.51400000000000001</v>
      </c>
    </row>
    <row r="179" spans="1:12" outlineLevel="1" x14ac:dyDescent="0.2">
      <c r="B179" s="39" t="s">
        <v>21</v>
      </c>
      <c r="C179" s="39" t="s">
        <v>138</v>
      </c>
      <c r="D179" s="39" t="s">
        <v>141</v>
      </c>
      <c r="E179" s="65" t="s">
        <v>104</v>
      </c>
      <c r="F179" s="69"/>
      <c r="G179" s="69"/>
      <c r="H179" s="68">
        <v>1.6E-2</v>
      </c>
      <c r="I179" s="69">
        <v>2.1000000000000001E-2</v>
      </c>
      <c r="J179" s="68">
        <v>2.7E-2</v>
      </c>
      <c r="K179" s="67">
        <v>4.3000000000000003E-2</v>
      </c>
      <c r="L179" s="66">
        <v>6.0999999999999999E-2</v>
      </c>
    </row>
    <row r="180" spans="1:12" outlineLevel="1" x14ac:dyDescent="0.2">
      <c r="B180" s="39" t="s">
        <v>21</v>
      </c>
      <c r="C180" s="39" t="s">
        <v>138</v>
      </c>
      <c r="D180" s="39" t="s">
        <v>141</v>
      </c>
      <c r="E180" s="65" t="s">
        <v>105</v>
      </c>
      <c r="F180" s="69"/>
      <c r="G180" s="69"/>
      <c r="H180" s="68">
        <v>0.184</v>
      </c>
      <c r="I180" s="69">
        <v>0.19400000000000001</v>
      </c>
      <c r="J180" s="68">
        <v>0.20600000000000002</v>
      </c>
      <c r="K180" s="67">
        <v>0.23500000000000001</v>
      </c>
      <c r="L180" s="66">
        <v>0.26</v>
      </c>
    </row>
    <row r="181" spans="1:12" outlineLevel="1" x14ac:dyDescent="0.2">
      <c r="B181" s="39" t="s">
        <v>21</v>
      </c>
      <c r="C181" s="39" t="s">
        <v>138</v>
      </c>
      <c r="D181" s="39" t="s">
        <v>141</v>
      </c>
      <c r="E181" s="65" t="s">
        <v>106</v>
      </c>
      <c r="F181" s="69"/>
      <c r="G181" s="69"/>
      <c r="H181" s="69"/>
      <c r="I181" s="69">
        <v>3.3000000000000002E-2</v>
      </c>
      <c r="J181" s="69"/>
      <c r="K181" s="67">
        <v>6.4000000000000001E-2</v>
      </c>
      <c r="L181" s="66">
        <v>8.5000000000000006E-2</v>
      </c>
    </row>
    <row r="182" spans="1:12" outlineLevel="1" x14ac:dyDescent="0.2">
      <c r="B182" s="39" t="s">
        <v>21</v>
      </c>
      <c r="C182" s="39" t="s">
        <v>138</v>
      </c>
      <c r="D182" s="39" t="s">
        <v>141</v>
      </c>
      <c r="E182" s="65" t="s">
        <v>107</v>
      </c>
      <c r="F182" s="69"/>
      <c r="G182" s="69"/>
      <c r="H182" s="69"/>
      <c r="I182" s="69">
        <v>3.4000000000000002E-2</v>
      </c>
      <c r="J182" s="69"/>
      <c r="K182" s="67">
        <v>5.2000000000000005E-2</v>
      </c>
      <c r="L182" s="66">
        <v>6.6000000000000003E-2</v>
      </c>
    </row>
    <row r="183" spans="1:12" outlineLevel="1" x14ac:dyDescent="0.2">
      <c r="B183" s="39" t="s">
        <v>21</v>
      </c>
      <c r="C183" s="39" t="s">
        <v>138</v>
      </c>
      <c r="D183" s="39" t="s">
        <v>141</v>
      </c>
      <c r="E183" s="65" t="s">
        <v>108</v>
      </c>
      <c r="F183" s="69"/>
      <c r="G183" s="69"/>
      <c r="H183" s="69"/>
      <c r="I183" s="69">
        <v>6.8000000000000005E-2</v>
      </c>
      <c r="J183" s="69"/>
      <c r="K183" s="67">
        <v>9.2999999999999999E-2</v>
      </c>
      <c r="L183" s="66">
        <v>0.109</v>
      </c>
    </row>
    <row r="184" spans="1:12" outlineLevel="1" x14ac:dyDescent="0.2">
      <c r="B184" s="39" t="s">
        <v>21</v>
      </c>
      <c r="C184" s="39" t="s">
        <v>138</v>
      </c>
      <c r="D184" s="39" t="s">
        <v>141</v>
      </c>
      <c r="E184" s="65" t="s">
        <v>109</v>
      </c>
      <c r="F184" s="66">
        <v>2.7E-2</v>
      </c>
      <c r="G184" s="67">
        <v>3.3000000000000002E-2</v>
      </c>
      <c r="H184" s="68">
        <v>4.2000000000000003E-2</v>
      </c>
      <c r="I184" s="69">
        <v>4.5999999999999999E-2</v>
      </c>
      <c r="J184" s="68">
        <v>0.05</v>
      </c>
      <c r="K184" s="69"/>
      <c r="L184" s="69"/>
    </row>
    <row r="185" spans="1:12" outlineLevel="1" x14ac:dyDescent="0.2">
      <c r="B185" s="39" t="s">
        <v>21</v>
      </c>
      <c r="C185" s="39" t="s">
        <v>138</v>
      </c>
      <c r="D185" s="39" t="s">
        <v>141</v>
      </c>
      <c r="E185" s="65" t="s">
        <v>110</v>
      </c>
      <c r="F185" s="69"/>
      <c r="G185" s="69"/>
      <c r="H185" s="69"/>
      <c r="I185" s="69">
        <v>1.2E-2</v>
      </c>
      <c r="J185" s="69"/>
      <c r="K185" s="67">
        <v>1.6E-2</v>
      </c>
      <c r="L185" s="66">
        <v>1.8000000000000002E-2</v>
      </c>
    </row>
    <row r="186" spans="1:12" outlineLevel="1" x14ac:dyDescent="0.2">
      <c r="B186" s="39" t="s">
        <v>21</v>
      </c>
      <c r="C186" s="39" t="s">
        <v>138</v>
      </c>
      <c r="D186" s="39" t="s">
        <v>141</v>
      </c>
      <c r="E186" s="65" t="s">
        <v>34</v>
      </c>
      <c r="F186" s="69"/>
      <c r="G186" s="69"/>
      <c r="H186" s="68">
        <v>7.5999999999999998E-2</v>
      </c>
      <c r="I186" s="69">
        <v>8.3000000000000004E-2</v>
      </c>
      <c r="J186" s="68">
        <v>0.09</v>
      </c>
      <c r="K186" s="67">
        <v>0.111</v>
      </c>
      <c r="L186" s="66">
        <v>0.126</v>
      </c>
    </row>
    <row r="187" spans="1:12" outlineLevel="1" x14ac:dyDescent="0.2">
      <c r="B187" s="39" t="s">
        <v>21</v>
      </c>
      <c r="C187" s="39" t="s">
        <v>138</v>
      </c>
      <c r="D187" s="39" t="s">
        <v>141</v>
      </c>
      <c r="E187" s="65" t="s">
        <v>4</v>
      </c>
      <c r="F187" s="71">
        <v>16.2</v>
      </c>
      <c r="G187" s="72">
        <v>17.400000000000002</v>
      </c>
      <c r="H187" s="73">
        <v>19</v>
      </c>
      <c r="I187" s="74">
        <v>19.700000000000003</v>
      </c>
      <c r="J187" s="73">
        <v>20.400000000000002</v>
      </c>
      <c r="K187" s="72">
        <v>22.3</v>
      </c>
      <c r="L187" s="71">
        <v>23.900000000000002</v>
      </c>
    </row>
    <row r="188" spans="1:12" outlineLevel="1" x14ac:dyDescent="0.2">
      <c r="B188" s="39" t="s">
        <v>21</v>
      </c>
      <c r="C188" s="39" t="s">
        <v>138</v>
      </c>
      <c r="D188" s="39" t="s">
        <v>141</v>
      </c>
      <c r="E188" s="65" t="s">
        <v>14</v>
      </c>
      <c r="F188" s="71">
        <v>6.8000000000000007</v>
      </c>
      <c r="G188" s="72">
        <v>7.3000000000000007</v>
      </c>
      <c r="H188" s="73">
        <v>8.1</v>
      </c>
      <c r="I188" s="74">
        <v>8.4</v>
      </c>
      <c r="J188" s="73">
        <v>8.7000000000000011</v>
      </c>
      <c r="K188" s="72">
        <v>9.5</v>
      </c>
      <c r="L188" s="71">
        <v>10.200000000000001</v>
      </c>
    </row>
    <row r="189" spans="1:12" outlineLevel="1" x14ac:dyDescent="0.2">
      <c r="B189" s="39" t="s">
        <v>21</v>
      </c>
      <c r="C189" s="39" t="s">
        <v>138</v>
      </c>
      <c r="D189" s="39" t="s">
        <v>141</v>
      </c>
      <c r="E189" s="65" t="s">
        <v>0</v>
      </c>
      <c r="F189" s="71">
        <v>22.1</v>
      </c>
      <c r="G189" s="72">
        <v>23.6</v>
      </c>
      <c r="H189" s="73">
        <v>25.400000000000002</v>
      </c>
      <c r="I189" s="74">
        <v>26.1</v>
      </c>
      <c r="J189" s="73">
        <v>26.8</v>
      </c>
      <c r="K189" s="72">
        <v>28.5</v>
      </c>
      <c r="L189" s="71">
        <v>29.400000000000002</v>
      </c>
    </row>
    <row r="190" spans="1:12" outlineLevel="1" x14ac:dyDescent="0.2"/>
    <row r="191" spans="1:12" x14ac:dyDescent="0.2">
      <c r="A191" s="75">
        <v>1120</v>
      </c>
      <c r="B191" s="39" t="s">
        <v>21</v>
      </c>
      <c r="C191" s="39" t="s">
        <v>139</v>
      </c>
      <c r="D191" s="39" t="s">
        <v>141</v>
      </c>
      <c r="E191" s="153" t="s">
        <v>186</v>
      </c>
    </row>
    <row r="192" spans="1:12" outlineLevel="1" x14ac:dyDescent="0.2">
      <c r="B192" s="39" t="s">
        <v>21</v>
      </c>
      <c r="C192" s="39" t="s">
        <v>139</v>
      </c>
      <c r="D192" s="39" t="s">
        <v>141</v>
      </c>
      <c r="E192" s="65" t="s">
        <v>338</v>
      </c>
      <c r="F192" s="66">
        <v>0.36</v>
      </c>
      <c r="G192" s="67">
        <v>0.38300000000000001</v>
      </c>
      <c r="H192" s="68">
        <v>0.41100000000000003</v>
      </c>
      <c r="I192" s="69">
        <v>0.42399999999999999</v>
      </c>
      <c r="J192" s="68">
        <v>0.434</v>
      </c>
      <c r="K192" s="67">
        <v>0.46300000000000002</v>
      </c>
      <c r="L192" s="66">
        <v>0.48699999999999999</v>
      </c>
    </row>
    <row r="193" spans="2:12" outlineLevel="1" x14ac:dyDescent="0.2">
      <c r="B193" s="39" t="s">
        <v>21</v>
      </c>
      <c r="C193" s="39" t="s">
        <v>139</v>
      </c>
      <c r="D193" s="39" t="s">
        <v>141</v>
      </c>
      <c r="E193" s="65" t="s">
        <v>339</v>
      </c>
      <c r="F193" s="66">
        <v>0.372</v>
      </c>
      <c r="G193" s="67">
        <v>0.39500000000000002</v>
      </c>
      <c r="H193" s="68">
        <v>0.42299999999999999</v>
      </c>
      <c r="I193" s="69">
        <v>0.436</v>
      </c>
      <c r="J193" s="68">
        <v>0.44600000000000001</v>
      </c>
      <c r="K193" s="67">
        <v>0.47500000000000003</v>
      </c>
      <c r="L193" s="66">
        <v>0.499</v>
      </c>
    </row>
    <row r="194" spans="2:12" outlineLevel="1" x14ac:dyDescent="0.2">
      <c r="B194" s="39" t="s">
        <v>21</v>
      </c>
      <c r="C194" s="39" t="s">
        <v>139</v>
      </c>
      <c r="D194" s="39" t="s">
        <v>141</v>
      </c>
      <c r="E194" s="65" t="s">
        <v>351</v>
      </c>
      <c r="F194" s="66">
        <v>0.38400000000000001</v>
      </c>
      <c r="G194" s="67">
        <v>0.40700000000000003</v>
      </c>
      <c r="H194" s="68">
        <v>0.436</v>
      </c>
      <c r="I194" s="69">
        <v>0.44800000000000001</v>
      </c>
      <c r="J194" s="68">
        <v>0.45800000000000002</v>
      </c>
      <c r="K194" s="67">
        <v>0.48799999999999999</v>
      </c>
      <c r="L194" s="66">
        <v>0.51200000000000001</v>
      </c>
    </row>
    <row r="195" spans="2:12" outlineLevel="1" x14ac:dyDescent="0.2">
      <c r="B195" s="39" t="s">
        <v>21</v>
      </c>
      <c r="C195" s="39" t="s">
        <v>139</v>
      </c>
      <c r="D195" s="39" t="s">
        <v>141</v>
      </c>
      <c r="E195" s="65" t="s">
        <v>352</v>
      </c>
      <c r="F195" s="66">
        <v>0.38700000000000001</v>
      </c>
      <c r="G195" s="67">
        <v>0.41000000000000003</v>
      </c>
      <c r="H195" s="68">
        <v>0.439</v>
      </c>
      <c r="I195" s="69">
        <v>0.45100000000000001</v>
      </c>
      <c r="J195" s="68">
        <v>0.46200000000000002</v>
      </c>
      <c r="K195" s="67">
        <v>0.49099999999999999</v>
      </c>
      <c r="L195" s="66">
        <v>0.51500000000000001</v>
      </c>
    </row>
    <row r="196" spans="2:12" outlineLevel="1" x14ac:dyDescent="0.2">
      <c r="B196" s="39" t="s">
        <v>21</v>
      </c>
      <c r="C196" s="39" t="s">
        <v>139</v>
      </c>
      <c r="D196" s="39" t="s">
        <v>141</v>
      </c>
      <c r="E196" s="65" t="s">
        <v>104</v>
      </c>
      <c r="F196" s="69"/>
      <c r="G196" s="69"/>
      <c r="H196" s="68">
        <v>1.4E-2</v>
      </c>
      <c r="I196" s="69">
        <v>1.9E-2</v>
      </c>
      <c r="J196" s="68">
        <v>2.5000000000000001E-2</v>
      </c>
      <c r="K196" s="67">
        <v>0.04</v>
      </c>
      <c r="L196" s="66">
        <v>5.5E-2</v>
      </c>
    </row>
    <row r="197" spans="2:12" outlineLevel="1" x14ac:dyDescent="0.2">
      <c r="B197" s="39" t="s">
        <v>21</v>
      </c>
      <c r="C197" s="39" t="s">
        <v>139</v>
      </c>
      <c r="D197" s="39" t="s">
        <v>141</v>
      </c>
      <c r="E197" s="65" t="s">
        <v>105</v>
      </c>
      <c r="F197" s="69"/>
      <c r="G197" s="69"/>
      <c r="H197" s="68">
        <v>0.19500000000000001</v>
      </c>
      <c r="I197" s="69">
        <v>0.21</v>
      </c>
      <c r="J197" s="68">
        <v>0.22</v>
      </c>
      <c r="K197" s="67">
        <v>0.25</v>
      </c>
      <c r="L197" s="66">
        <v>0.27200000000000002</v>
      </c>
    </row>
    <row r="198" spans="2:12" outlineLevel="1" x14ac:dyDescent="0.2">
      <c r="B198" s="39" t="s">
        <v>21</v>
      </c>
      <c r="C198" s="39" t="s">
        <v>139</v>
      </c>
      <c r="D198" s="39" t="s">
        <v>141</v>
      </c>
      <c r="E198" s="65" t="s">
        <v>106</v>
      </c>
      <c r="F198" s="69"/>
      <c r="G198" s="69"/>
      <c r="H198" s="69"/>
      <c r="I198" s="69">
        <v>3.3000000000000002E-2</v>
      </c>
      <c r="J198" s="69"/>
      <c r="K198" s="67">
        <v>6.7000000000000004E-2</v>
      </c>
      <c r="L198" s="66">
        <v>8.7999999999999995E-2</v>
      </c>
    </row>
    <row r="199" spans="2:12" outlineLevel="1" x14ac:dyDescent="0.2">
      <c r="B199" s="39" t="s">
        <v>21</v>
      </c>
      <c r="C199" s="39" t="s">
        <v>139</v>
      </c>
      <c r="D199" s="39" t="s">
        <v>141</v>
      </c>
      <c r="E199" s="65" t="s">
        <v>107</v>
      </c>
      <c r="F199" s="69"/>
      <c r="G199" s="69"/>
      <c r="H199" s="69"/>
      <c r="I199" s="69">
        <v>3.4000000000000002E-2</v>
      </c>
      <c r="J199" s="69"/>
      <c r="K199" s="67">
        <v>0.05</v>
      </c>
      <c r="L199" s="66">
        <v>6.2E-2</v>
      </c>
    </row>
    <row r="200" spans="2:12" outlineLevel="1" x14ac:dyDescent="0.2">
      <c r="B200" s="39" t="s">
        <v>21</v>
      </c>
      <c r="C200" s="39" t="s">
        <v>139</v>
      </c>
      <c r="D200" s="39" t="s">
        <v>141</v>
      </c>
      <c r="E200" s="65" t="s">
        <v>108</v>
      </c>
      <c r="F200" s="69"/>
      <c r="G200" s="69"/>
      <c r="H200" s="69"/>
      <c r="I200" s="69">
        <v>6.4000000000000001E-2</v>
      </c>
      <c r="J200" s="69"/>
      <c r="K200" s="67">
        <v>8.8999999999999996E-2</v>
      </c>
      <c r="L200" s="66">
        <v>0.106</v>
      </c>
    </row>
    <row r="201" spans="2:12" outlineLevel="1" x14ac:dyDescent="0.2">
      <c r="B201" s="39" t="s">
        <v>21</v>
      </c>
      <c r="C201" s="39" t="s">
        <v>139</v>
      </c>
      <c r="D201" s="39" t="s">
        <v>141</v>
      </c>
      <c r="E201" s="65" t="s">
        <v>109</v>
      </c>
      <c r="F201" s="66">
        <v>2.7E-2</v>
      </c>
      <c r="G201" s="67">
        <v>3.3000000000000002E-2</v>
      </c>
      <c r="H201" s="68">
        <v>4.1000000000000002E-2</v>
      </c>
      <c r="I201" s="69">
        <v>4.4999999999999998E-2</v>
      </c>
      <c r="J201" s="68">
        <v>4.9000000000000002E-2</v>
      </c>
      <c r="K201" s="69"/>
      <c r="L201" s="69"/>
    </row>
    <row r="202" spans="2:12" outlineLevel="1" x14ac:dyDescent="0.2">
      <c r="B202" s="39" t="s">
        <v>21</v>
      </c>
      <c r="C202" s="39" t="s">
        <v>139</v>
      </c>
      <c r="D202" s="39" t="s">
        <v>141</v>
      </c>
      <c r="E202" s="70" t="s">
        <v>110</v>
      </c>
      <c r="F202" s="69"/>
      <c r="G202" s="69"/>
      <c r="H202" s="69"/>
      <c r="I202" s="69">
        <v>1.0999999999999999E-2</v>
      </c>
      <c r="J202" s="69"/>
      <c r="K202" s="67">
        <v>1.4E-2</v>
      </c>
      <c r="L202" s="66">
        <v>1.6E-2</v>
      </c>
    </row>
    <row r="203" spans="2:12" outlineLevel="1" x14ac:dyDescent="0.2">
      <c r="B203" s="39" t="s">
        <v>21</v>
      </c>
      <c r="C203" s="39" t="s">
        <v>139</v>
      </c>
      <c r="D203" s="39" t="s">
        <v>141</v>
      </c>
      <c r="E203" s="65" t="s">
        <v>34</v>
      </c>
      <c r="F203" s="69"/>
      <c r="G203" s="69"/>
      <c r="H203" s="68">
        <v>6.3E-2</v>
      </c>
      <c r="I203" s="69">
        <v>7.0000000000000007E-2</v>
      </c>
      <c r="J203" s="68">
        <v>7.6999999999999999E-2</v>
      </c>
      <c r="K203" s="67">
        <v>9.2999999999999999E-2</v>
      </c>
      <c r="L203" s="66">
        <v>0.106</v>
      </c>
    </row>
    <row r="204" spans="2:12" outlineLevel="1" x14ac:dyDescent="0.2">
      <c r="B204" s="39" t="s">
        <v>21</v>
      </c>
      <c r="C204" s="39" t="s">
        <v>139</v>
      </c>
      <c r="D204" s="39" t="s">
        <v>141</v>
      </c>
      <c r="E204" s="65" t="s">
        <v>4</v>
      </c>
      <c r="F204" s="71">
        <v>17</v>
      </c>
      <c r="G204" s="72">
        <v>18.3</v>
      </c>
      <c r="H204" s="73">
        <v>19.8</v>
      </c>
      <c r="I204" s="74">
        <v>20.400000000000002</v>
      </c>
      <c r="J204" s="73">
        <v>21.200000000000003</v>
      </c>
      <c r="K204" s="72">
        <v>22.900000000000002</v>
      </c>
      <c r="L204" s="71">
        <v>24.400000000000002</v>
      </c>
    </row>
    <row r="205" spans="2:12" outlineLevel="1" x14ac:dyDescent="0.2">
      <c r="B205" s="39" t="s">
        <v>21</v>
      </c>
      <c r="C205" s="39" t="s">
        <v>139</v>
      </c>
      <c r="D205" s="39" t="s">
        <v>141</v>
      </c>
      <c r="E205" s="65" t="s">
        <v>14</v>
      </c>
      <c r="F205" s="71">
        <v>7.1000000000000005</v>
      </c>
      <c r="G205" s="72">
        <v>7.6000000000000005</v>
      </c>
      <c r="H205" s="73">
        <v>8.3000000000000007</v>
      </c>
      <c r="I205" s="74">
        <v>8.6</v>
      </c>
      <c r="J205" s="73">
        <v>8.9</v>
      </c>
      <c r="K205" s="72">
        <v>9.6000000000000014</v>
      </c>
      <c r="L205" s="71">
        <v>10.4</v>
      </c>
    </row>
    <row r="206" spans="2:12" outlineLevel="1" x14ac:dyDescent="0.2">
      <c r="B206" s="39" t="s">
        <v>21</v>
      </c>
      <c r="C206" s="39" t="s">
        <v>139</v>
      </c>
      <c r="D206" s="39" t="s">
        <v>141</v>
      </c>
      <c r="E206" s="70" t="s">
        <v>0</v>
      </c>
      <c r="F206" s="71">
        <v>24.5</v>
      </c>
      <c r="G206" s="72">
        <v>25.8</v>
      </c>
      <c r="H206" s="73">
        <v>27.1</v>
      </c>
      <c r="I206" s="74">
        <v>27.6</v>
      </c>
      <c r="J206" s="73">
        <v>28.1</v>
      </c>
      <c r="K206" s="72">
        <v>29.200000000000003</v>
      </c>
      <c r="L206" s="71">
        <v>29.700000000000003</v>
      </c>
    </row>
    <row r="207" spans="2:12" outlineLevel="1" x14ac:dyDescent="0.2"/>
    <row r="208" spans="2:12" x14ac:dyDescent="0.2"/>
    <row r="209" spans="1:14" s="63" customFormat="1" ht="51.6" customHeight="1" x14ac:dyDescent="0.25">
      <c r="A209" s="62" t="s">
        <v>145</v>
      </c>
      <c r="B209" s="62" t="s">
        <v>16</v>
      </c>
      <c r="C209" s="62" t="s">
        <v>128</v>
      </c>
      <c r="D209" s="62" t="s">
        <v>20</v>
      </c>
      <c r="F209" s="64" t="s">
        <v>148</v>
      </c>
      <c r="G209" s="64" t="s">
        <v>149</v>
      </c>
      <c r="H209" s="64" t="s">
        <v>150</v>
      </c>
      <c r="I209" s="64" t="s">
        <v>155</v>
      </c>
      <c r="J209" s="64" t="s">
        <v>154</v>
      </c>
      <c r="K209" s="64" t="s">
        <v>151</v>
      </c>
      <c r="L209" s="64" t="s">
        <v>152</v>
      </c>
      <c r="N209" s="63" t="s">
        <v>153</v>
      </c>
    </row>
    <row r="210" spans="1:14" x14ac:dyDescent="0.2">
      <c r="A210" s="76">
        <v>59</v>
      </c>
      <c r="B210" s="39" t="s">
        <v>130</v>
      </c>
      <c r="C210" s="39" t="s">
        <v>137</v>
      </c>
      <c r="D210" s="39" t="s">
        <v>136</v>
      </c>
      <c r="E210" s="153" t="s">
        <v>187</v>
      </c>
    </row>
    <row r="211" spans="1:14" outlineLevel="1" x14ac:dyDescent="0.2">
      <c r="A211" s="76"/>
      <c r="B211" s="39" t="s">
        <v>130</v>
      </c>
      <c r="C211" s="39" t="s">
        <v>137</v>
      </c>
      <c r="D211" s="39" t="s">
        <v>136</v>
      </c>
      <c r="E211" s="65" t="s">
        <v>338</v>
      </c>
      <c r="F211" s="66">
        <v>0.38800000000000001</v>
      </c>
      <c r="G211" s="67">
        <v>0.49099999999999999</v>
      </c>
      <c r="H211" s="68">
        <v>0.53600000000000003</v>
      </c>
      <c r="I211" s="69">
        <v>0.55200000000000005</v>
      </c>
      <c r="J211" s="68">
        <v>0.56800000000000006</v>
      </c>
      <c r="K211" s="67">
        <v>0.59199999999999997</v>
      </c>
      <c r="L211" s="66">
        <v>0.629</v>
      </c>
    </row>
    <row r="212" spans="1:14" outlineLevel="1" x14ac:dyDescent="0.2">
      <c r="A212" s="76"/>
      <c r="B212" s="39" t="s">
        <v>130</v>
      </c>
      <c r="C212" s="39" t="s">
        <v>137</v>
      </c>
      <c r="D212" s="39" t="s">
        <v>136</v>
      </c>
      <c r="E212" s="65" t="s">
        <v>339</v>
      </c>
      <c r="F212" s="66">
        <v>0.4</v>
      </c>
      <c r="G212" s="67">
        <v>0.504</v>
      </c>
      <c r="H212" s="68">
        <v>0.54800000000000004</v>
      </c>
      <c r="I212" s="69">
        <v>0.56400000000000006</v>
      </c>
      <c r="J212" s="68">
        <v>0.57999999999999996</v>
      </c>
      <c r="K212" s="67">
        <v>0.60399999999999998</v>
      </c>
      <c r="L212" s="66">
        <v>0.64</v>
      </c>
    </row>
    <row r="213" spans="1:14" outlineLevel="1" x14ac:dyDescent="0.2">
      <c r="A213" s="76"/>
      <c r="B213" s="39" t="s">
        <v>130</v>
      </c>
      <c r="C213" s="39" t="s">
        <v>137</v>
      </c>
      <c r="D213" s="39" t="s">
        <v>136</v>
      </c>
      <c r="E213" s="65" t="s">
        <v>351</v>
      </c>
      <c r="F213" s="66">
        <v>0.41200000000000003</v>
      </c>
      <c r="G213" s="67">
        <v>0.51600000000000001</v>
      </c>
      <c r="H213" s="68">
        <v>0.56000000000000005</v>
      </c>
      <c r="I213" s="69">
        <v>0.57600000000000007</v>
      </c>
      <c r="J213" s="68">
        <v>0.59199999999999997</v>
      </c>
      <c r="K213" s="67">
        <v>0.61599999999999999</v>
      </c>
      <c r="L213" s="66">
        <v>0.65200000000000002</v>
      </c>
    </row>
    <row r="214" spans="1:14" outlineLevel="1" x14ac:dyDescent="0.2">
      <c r="A214" s="76"/>
      <c r="B214" s="39" t="s">
        <v>130</v>
      </c>
      <c r="C214" s="39" t="s">
        <v>137</v>
      </c>
      <c r="D214" s="39" t="s">
        <v>136</v>
      </c>
      <c r="E214" s="65" t="s">
        <v>352</v>
      </c>
      <c r="F214" s="66">
        <v>0.41500000000000004</v>
      </c>
      <c r="G214" s="67">
        <v>0.51900000000000002</v>
      </c>
      <c r="H214" s="68">
        <v>0.56400000000000006</v>
      </c>
      <c r="I214" s="69">
        <v>0.57899999999999996</v>
      </c>
      <c r="J214" s="68">
        <v>0.59499999999999997</v>
      </c>
      <c r="K214" s="67">
        <v>0.61899999999999999</v>
      </c>
      <c r="L214" s="66">
        <v>0.65500000000000003</v>
      </c>
    </row>
    <row r="215" spans="1:14" outlineLevel="1" x14ac:dyDescent="0.2">
      <c r="A215" s="76"/>
      <c r="B215" s="39" t="s">
        <v>130</v>
      </c>
      <c r="C215" s="39" t="s">
        <v>137</v>
      </c>
      <c r="D215" s="39" t="s">
        <v>136</v>
      </c>
      <c r="E215" s="65" t="s">
        <v>104</v>
      </c>
      <c r="F215" s="69"/>
      <c r="G215" s="69"/>
      <c r="H215" s="68">
        <v>3.0000000000000001E-3</v>
      </c>
      <c r="I215" s="69">
        <v>8.0000000000000002E-3</v>
      </c>
      <c r="J215" s="68">
        <v>1.3000000000000001E-2</v>
      </c>
      <c r="K215" s="67">
        <v>2.5000000000000001E-2</v>
      </c>
      <c r="L215" s="66">
        <v>3.1E-2</v>
      </c>
    </row>
    <row r="216" spans="1:14" outlineLevel="1" x14ac:dyDescent="0.2">
      <c r="A216" s="76"/>
      <c r="B216" s="39" t="s">
        <v>130</v>
      </c>
      <c r="C216" s="39" t="s">
        <v>137</v>
      </c>
      <c r="D216" s="39" t="s">
        <v>136</v>
      </c>
      <c r="E216" s="65" t="s">
        <v>105</v>
      </c>
      <c r="F216" s="69"/>
      <c r="G216" s="69"/>
      <c r="H216" s="68">
        <v>5.2000000000000005E-2</v>
      </c>
      <c r="I216" s="69">
        <v>6.5000000000000002E-2</v>
      </c>
      <c r="J216" s="68">
        <v>7.5999999999999998E-2</v>
      </c>
      <c r="K216" s="67">
        <v>0.10400000000000001</v>
      </c>
      <c r="L216" s="66">
        <v>0.127</v>
      </c>
    </row>
    <row r="217" spans="1:14" outlineLevel="1" x14ac:dyDescent="0.2">
      <c r="A217" s="76"/>
      <c r="B217" s="39" t="s">
        <v>130</v>
      </c>
      <c r="C217" s="39" t="s">
        <v>137</v>
      </c>
      <c r="D217" s="39" t="s">
        <v>136</v>
      </c>
      <c r="E217" s="65" t="s">
        <v>106</v>
      </c>
      <c r="F217" s="69"/>
      <c r="G217" s="69"/>
      <c r="H217" s="69"/>
      <c r="I217" s="69">
        <v>6.5000000000000002E-2</v>
      </c>
      <c r="J217" s="69"/>
      <c r="K217" s="67">
        <v>8.2000000000000003E-2</v>
      </c>
      <c r="L217" s="66">
        <v>0.114</v>
      </c>
    </row>
    <row r="218" spans="1:14" outlineLevel="1" x14ac:dyDescent="0.2">
      <c r="A218" s="76"/>
      <c r="B218" s="39" t="s">
        <v>130</v>
      </c>
      <c r="C218" s="39" t="s">
        <v>137</v>
      </c>
      <c r="D218" s="39" t="s">
        <v>136</v>
      </c>
      <c r="E218" s="65" t="s">
        <v>107</v>
      </c>
      <c r="F218" s="69"/>
      <c r="G218" s="69"/>
      <c r="H218" s="69"/>
      <c r="I218" s="69">
        <v>1.4E-2</v>
      </c>
      <c r="J218" s="69"/>
      <c r="K218" s="67">
        <v>4.5999999999999999E-2</v>
      </c>
      <c r="L218" s="66">
        <v>0.11</v>
      </c>
    </row>
    <row r="219" spans="1:14" outlineLevel="1" x14ac:dyDescent="0.2">
      <c r="A219" s="76"/>
      <c r="B219" s="39" t="s">
        <v>130</v>
      </c>
      <c r="C219" s="39" t="s">
        <v>137</v>
      </c>
      <c r="D219" s="39" t="s">
        <v>136</v>
      </c>
      <c r="E219" s="65" t="s">
        <v>108</v>
      </c>
      <c r="F219" s="69"/>
      <c r="G219" s="69"/>
      <c r="H219" s="69"/>
      <c r="I219" s="69">
        <v>4.9000000000000002E-2</v>
      </c>
      <c r="J219" s="69"/>
      <c r="K219" s="67">
        <v>8.4000000000000005E-2</v>
      </c>
      <c r="L219" s="66">
        <v>0.105</v>
      </c>
    </row>
    <row r="220" spans="1:14" outlineLevel="1" x14ac:dyDescent="0.2">
      <c r="A220" s="76"/>
      <c r="B220" s="39" t="s">
        <v>130</v>
      </c>
      <c r="C220" s="39" t="s">
        <v>137</v>
      </c>
      <c r="D220" s="39" t="s">
        <v>136</v>
      </c>
      <c r="E220" s="65" t="s">
        <v>109</v>
      </c>
      <c r="F220" s="66">
        <v>3.7999999999999999E-2</v>
      </c>
      <c r="G220" s="67">
        <v>4.5999999999999999E-2</v>
      </c>
      <c r="H220" s="68">
        <v>6.4000000000000001E-2</v>
      </c>
      <c r="I220" s="69">
        <v>7.2999999999999995E-2</v>
      </c>
      <c r="J220" s="68">
        <v>0.08</v>
      </c>
      <c r="K220" s="69"/>
      <c r="L220" s="69"/>
    </row>
    <row r="221" spans="1:14" outlineLevel="1" x14ac:dyDescent="0.2">
      <c r="A221" s="76"/>
      <c r="B221" s="39" t="s">
        <v>130</v>
      </c>
      <c r="C221" s="39" t="s">
        <v>137</v>
      </c>
      <c r="D221" s="39" t="s">
        <v>136</v>
      </c>
      <c r="E221" s="65" t="s">
        <v>110</v>
      </c>
      <c r="F221" s="69"/>
      <c r="G221" s="69"/>
      <c r="H221" s="69"/>
      <c r="I221" s="69">
        <v>1.7000000000000001E-2</v>
      </c>
      <c r="J221" s="69"/>
      <c r="K221" s="67">
        <v>2.1999999999999999E-2</v>
      </c>
      <c r="L221" s="66">
        <v>2.8000000000000001E-2</v>
      </c>
    </row>
    <row r="222" spans="1:14" outlineLevel="1" x14ac:dyDescent="0.2">
      <c r="A222" s="76"/>
      <c r="B222" s="39" t="s">
        <v>130</v>
      </c>
      <c r="C222" s="39" t="s">
        <v>137</v>
      </c>
      <c r="D222" s="39" t="s">
        <v>136</v>
      </c>
      <c r="E222" s="65" t="s">
        <v>34</v>
      </c>
      <c r="F222" s="69"/>
      <c r="G222" s="69"/>
      <c r="H222" s="68">
        <v>0.06</v>
      </c>
      <c r="I222" s="69">
        <v>6.7000000000000004E-2</v>
      </c>
      <c r="J222" s="68">
        <v>6.8000000000000005E-2</v>
      </c>
      <c r="K222" s="67">
        <v>8.7000000000000008E-2</v>
      </c>
      <c r="L222" s="66">
        <v>0.10100000000000001</v>
      </c>
    </row>
    <row r="223" spans="1:14" outlineLevel="1" x14ac:dyDescent="0.2">
      <c r="A223" s="76"/>
      <c r="B223" s="39" t="s">
        <v>130</v>
      </c>
      <c r="C223" s="39" t="s">
        <v>137</v>
      </c>
      <c r="D223" s="39" t="s">
        <v>136</v>
      </c>
      <c r="E223" s="65" t="s">
        <v>4</v>
      </c>
      <c r="F223" s="71">
        <v>11.100000000000001</v>
      </c>
      <c r="G223" s="72">
        <v>12.8</v>
      </c>
      <c r="H223" s="73">
        <v>15.3</v>
      </c>
      <c r="I223" s="74">
        <v>16.100000000000001</v>
      </c>
      <c r="J223" s="73">
        <v>16.600000000000001</v>
      </c>
      <c r="K223" s="72">
        <v>17.8</v>
      </c>
      <c r="L223" s="71">
        <v>19</v>
      </c>
    </row>
    <row r="224" spans="1:14" outlineLevel="1" x14ac:dyDescent="0.2">
      <c r="A224" s="76"/>
      <c r="B224" s="39" t="s">
        <v>130</v>
      </c>
      <c r="C224" s="39" t="s">
        <v>137</v>
      </c>
      <c r="D224" s="39" t="s">
        <v>136</v>
      </c>
      <c r="E224" s="65" t="s">
        <v>14</v>
      </c>
      <c r="F224" s="71">
        <v>6.4</v>
      </c>
      <c r="G224" s="72">
        <v>8.1</v>
      </c>
      <c r="H224" s="73">
        <v>9.3000000000000007</v>
      </c>
      <c r="I224" s="74">
        <v>9.9</v>
      </c>
      <c r="J224" s="73">
        <v>10.200000000000001</v>
      </c>
      <c r="K224" s="72">
        <v>11.4</v>
      </c>
      <c r="L224" s="71">
        <v>12.8</v>
      </c>
    </row>
    <row r="225" spans="1:12" outlineLevel="1" x14ac:dyDescent="0.2">
      <c r="A225" s="76"/>
      <c r="B225" s="39" t="s">
        <v>130</v>
      </c>
      <c r="C225" s="39" t="s">
        <v>137</v>
      </c>
      <c r="D225" s="39" t="s">
        <v>136</v>
      </c>
      <c r="E225" s="65" t="s">
        <v>0</v>
      </c>
      <c r="F225" s="71">
        <v>14</v>
      </c>
      <c r="G225" s="72">
        <v>16.600000000000001</v>
      </c>
      <c r="H225" s="73">
        <v>19.100000000000001</v>
      </c>
      <c r="I225" s="74">
        <v>20</v>
      </c>
      <c r="J225" s="73">
        <v>20.5</v>
      </c>
      <c r="K225" s="72">
        <v>22</v>
      </c>
      <c r="L225" s="71">
        <v>22.900000000000002</v>
      </c>
    </row>
    <row r="226" spans="1:12" outlineLevel="1" x14ac:dyDescent="0.2">
      <c r="A226" s="76"/>
    </row>
    <row r="227" spans="1:12" x14ac:dyDescent="0.2">
      <c r="A227" s="76">
        <v>304</v>
      </c>
      <c r="B227" s="39" t="s">
        <v>130</v>
      </c>
      <c r="C227" s="39" t="s">
        <v>138</v>
      </c>
      <c r="D227" s="39" t="s">
        <v>136</v>
      </c>
      <c r="E227" s="153" t="s">
        <v>188</v>
      </c>
    </row>
    <row r="228" spans="1:12" outlineLevel="1" x14ac:dyDescent="0.2">
      <c r="A228" s="76"/>
      <c r="B228" s="39" t="s">
        <v>130</v>
      </c>
      <c r="C228" s="39" t="s">
        <v>138</v>
      </c>
      <c r="D228" s="39" t="s">
        <v>136</v>
      </c>
      <c r="E228" s="65" t="s">
        <v>338</v>
      </c>
      <c r="F228" s="66">
        <v>0.48099999999999998</v>
      </c>
      <c r="G228" s="67">
        <v>0.51100000000000001</v>
      </c>
      <c r="H228" s="68">
        <v>0.54500000000000004</v>
      </c>
      <c r="I228" s="69">
        <v>0.56200000000000006</v>
      </c>
      <c r="J228" s="68">
        <v>0.57400000000000007</v>
      </c>
      <c r="K228" s="67">
        <v>0.60399999999999998</v>
      </c>
      <c r="L228" s="66">
        <v>0.621</v>
      </c>
    </row>
    <row r="229" spans="1:12" outlineLevel="1" x14ac:dyDescent="0.2">
      <c r="A229" s="76"/>
      <c r="B229" s="39" t="s">
        <v>130</v>
      </c>
      <c r="C229" s="39" t="s">
        <v>138</v>
      </c>
      <c r="D229" s="39" t="s">
        <v>136</v>
      </c>
      <c r="E229" s="65" t="s">
        <v>339</v>
      </c>
      <c r="F229" s="66">
        <v>0.49399999999999999</v>
      </c>
      <c r="G229" s="67">
        <v>0.52400000000000002</v>
      </c>
      <c r="H229" s="68">
        <v>0.55800000000000005</v>
      </c>
      <c r="I229" s="69">
        <v>0.57400000000000007</v>
      </c>
      <c r="J229" s="68">
        <v>0.58699999999999997</v>
      </c>
      <c r="K229" s="67">
        <v>0.61599999999999999</v>
      </c>
      <c r="L229" s="66">
        <v>0.63300000000000001</v>
      </c>
    </row>
    <row r="230" spans="1:12" outlineLevel="1" x14ac:dyDescent="0.2">
      <c r="A230" s="76"/>
      <c r="B230" s="39" t="s">
        <v>130</v>
      </c>
      <c r="C230" s="39" t="s">
        <v>138</v>
      </c>
      <c r="D230" s="39" t="s">
        <v>136</v>
      </c>
      <c r="E230" s="65" t="s">
        <v>351</v>
      </c>
      <c r="F230" s="66">
        <v>0.50600000000000001</v>
      </c>
      <c r="G230" s="67">
        <v>0.53600000000000003</v>
      </c>
      <c r="H230" s="68">
        <v>0.57000000000000006</v>
      </c>
      <c r="I230" s="69">
        <v>0.58599999999999997</v>
      </c>
      <c r="J230" s="68">
        <v>0.59899999999999998</v>
      </c>
      <c r="K230" s="67">
        <v>0.628</v>
      </c>
      <c r="L230" s="66">
        <v>0.64400000000000002</v>
      </c>
    </row>
    <row r="231" spans="1:12" outlineLevel="1" x14ac:dyDescent="0.2">
      <c r="A231" s="76"/>
      <c r="B231" s="39" t="s">
        <v>130</v>
      </c>
      <c r="C231" s="39" t="s">
        <v>138</v>
      </c>
      <c r="D231" s="39" t="s">
        <v>136</v>
      </c>
      <c r="E231" s="65" t="s">
        <v>352</v>
      </c>
      <c r="F231" s="66">
        <v>0.50900000000000001</v>
      </c>
      <c r="G231" s="67">
        <v>0.53900000000000003</v>
      </c>
      <c r="H231" s="68">
        <v>0.57300000000000006</v>
      </c>
      <c r="I231" s="69">
        <v>0.58899999999999997</v>
      </c>
      <c r="J231" s="68">
        <v>0.60199999999999998</v>
      </c>
      <c r="K231" s="67">
        <v>0.63100000000000001</v>
      </c>
      <c r="L231" s="66">
        <v>0.64700000000000002</v>
      </c>
    </row>
    <row r="232" spans="1:12" outlineLevel="1" x14ac:dyDescent="0.2">
      <c r="A232" s="76"/>
      <c r="B232" s="39" t="s">
        <v>130</v>
      </c>
      <c r="C232" s="39" t="s">
        <v>138</v>
      </c>
      <c r="D232" s="39" t="s">
        <v>136</v>
      </c>
      <c r="E232" s="65" t="s">
        <v>104</v>
      </c>
      <c r="F232" s="69"/>
      <c r="G232" s="69"/>
      <c r="H232" s="68">
        <v>7.0000000000000001E-3</v>
      </c>
      <c r="I232" s="69">
        <v>0.01</v>
      </c>
      <c r="J232" s="68">
        <v>1.2E-2</v>
      </c>
      <c r="K232" s="67">
        <v>1.9E-2</v>
      </c>
      <c r="L232" s="66">
        <v>2.6000000000000002E-2</v>
      </c>
    </row>
    <row r="233" spans="1:12" outlineLevel="1" x14ac:dyDescent="0.2">
      <c r="A233" s="76"/>
      <c r="B233" s="39" t="s">
        <v>130</v>
      </c>
      <c r="C233" s="39" t="s">
        <v>138</v>
      </c>
      <c r="D233" s="39" t="s">
        <v>136</v>
      </c>
      <c r="E233" s="65" t="s">
        <v>105</v>
      </c>
      <c r="F233" s="69"/>
      <c r="G233" s="69"/>
      <c r="H233" s="68">
        <v>6.4000000000000001E-2</v>
      </c>
      <c r="I233" s="69">
        <v>7.0000000000000007E-2</v>
      </c>
      <c r="J233" s="68">
        <v>7.9000000000000001E-2</v>
      </c>
      <c r="K233" s="67">
        <v>9.7000000000000003E-2</v>
      </c>
      <c r="L233" s="66">
        <v>0.114</v>
      </c>
    </row>
    <row r="234" spans="1:12" outlineLevel="1" x14ac:dyDescent="0.2">
      <c r="A234" s="76"/>
      <c r="B234" s="39" t="s">
        <v>130</v>
      </c>
      <c r="C234" s="39" t="s">
        <v>138</v>
      </c>
      <c r="D234" s="39" t="s">
        <v>136</v>
      </c>
      <c r="E234" s="65" t="s">
        <v>106</v>
      </c>
      <c r="F234" s="69"/>
      <c r="G234" s="69"/>
      <c r="H234" s="69"/>
      <c r="I234" s="69">
        <v>6.9000000000000006E-2</v>
      </c>
      <c r="J234" s="69"/>
      <c r="K234" s="67">
        <v>9.0999999999999998E-2</v>
      </c>
      <c r="L234" s="66">
        <v>0.105</v>
      </c>
    </row>
    <row r="235" spans="1:12" outlineLevel="1" x14ac:dyDescent="0.2">
      <c r="A235" s="76"/>
      <c r="B235" s="39" t="s">
        <v>130</v>
      </c>
      <c r="C235" s="39" t="s">
        <v>138</v>
      </c>
      <c r="D235" s="39" t="s">
        <v>136</v>
      </c>
      <c r="E235" s="65" t="s">
        <v>107</v>
      </c>
      <c r="F235" s="69"/>
      <c r="G235" s="69"/>
      <c r="H235" s="69"/>
      <c r="I235" s="69">
        <v>1.4999999999999999E-2</v>
      </c>
      <c r="J235" s="69"/>
      <c r="K235" s="67">
        <v>3.4000000000000002E-2</v>
      </c>
      <c r="L235" s="66">
        <v>5.7000000000000002E-2</v>
      </c>
    </row>
    <row r="236" spans="1:12" outlineLevel="1" x14ac:dyDescent="0.2">
      <c r="A236" s="76"/>
      <c r="B236" s="39" t="s">
        <v>130</v>
      </c>
      <c r="C236" s="39" t="s">
        <v>138</v>
      </c>
      <c r="D236" s="39" t="s">
        <v>136</v>
      </c>
      <c r="E236" s="65" t="s">
        <v>108</v>
      </c>
      <c r="F236" s="69"/>
      <c r="G236" s="69"/>
      <c r="H236" s="69"/>
      <c r="I236" s="69">
        <v>5.5E-2</v>
      </c>
      <c r="J236" s="69"/>
      <c r="K236" s="67">
        <v>7.5999999999999998E-2</v>
      </c>
      <c r="L236" s="66">
        <v>9.5000000000000001E-2</v>
      </c>
    </row>
    <row r="237" spans="1:12" outlineLevel="1" x14ac:dyDescent="0.2">
      <c r="A237" s="76"/>
      <c r="B237" s="39" t="s">
        <v>130</v>
      </c>
      <c r="C237" s="39" t="s">
        <v>138</v>
      </c>
      <c r="D237" s="39" t="s">
        <v>136</v>
      </c>
      <c r="E237" s="65" t="s">
        <v>109</v>
      </c>
      <c r="F237" s="66">
        <v>4.8000000000000001E-2</v>
      </c>
      <c r="G237" s="67">
        <v>5.8000000000000003E-2</v>
      </c>
      <c r="H237" s="68">
        <v>7.9000000000000001E-2</v>
      </c>
      <c r="I237" s="69">
        <v>8.7000000000000008E-2</v>
      </c>
      <c r="J237" s="68">
        <v>9.5000000000000001E-2</v>
      </c>
      <c r="K237" s="69"/>
      <c r="L237" s="69"/>
    </row>
    <row r="238" spans="1:12" outlineLevel="1" x14ac:dyDescent="0.2">
      <c r="A238" s="76"/>
      <c r="B238" s="39" t="s">
        <v>130</v>
      </c>
      <c r="C238" s="39" t="s">
        <v>138</v>
      </c>
      <c r="D238" s="39" t="s">
        <v>136</v>
      </c>
      <c r="E238" s="65" t="s">
        <v>110</v>
      </c>
      <c r="F238" s="69"/>
      <c r="G238" s="69"/>
      <c r="H238" s="69"/>
      <c r="I238" s="69">
        <v>1.4999999999999999E-2</v>
      </c>
      <c r="J238" s="69"/>
      <c r="K238" s="67">
        <v>1.9E-2</v>
      </c>
      <c r="L238" s="66">
        <v>2.1000000000000001E-2</v>
      </c>
    </row>
    <row r="239" spans="1:12" outlineLevel="1" x14ac:dyDescent="0.2">
      <c r="A239" s="76"/>
      <c r="B239" s="39" t="s">
        <v>130</v>
      </c>
      <c r="C239" s="39" t="s">
        <v>138</v>
      </c>
      <c r="D239" s="39" t="s">
        <v>136</v>
      </c>
      <c r="E239" s="65" t="s">
        <v>34</v>
      </c>
      <c r="F239" s="69"/>
      <c r="G239" s="69"/>
      <c r="H239" s="68">
        <v>5.6000000000000001E-2</v>
      </c>
      <c r="I239" s="69">
        <v>5.9000000000000004E-2</v>
      </c>
      <c r="J239" s="68">
        <v>6.2E-2</v>
      </c>
      <c r="K239" s="67">
        <v>7.2999999999999995E-2</v>
      </c>
      <c r="L239" s="66">
        <v>8.7999999999999995E-2</v>
      </c>
    </row>
    <row r="240" spans="1:12" outlineLevel="1" x14ac:dyDescent="0.2">
      <c r="A240" s="76"/>
      <c r="B240" s="39" t="s">
        <v>130</v>
      </c>
      <c r="C240" s="39" t="s">
        <v>138</v>
      </c>
      <c r="D240" s="39" t="s">
        <v>136</v>
      </c>
      <c r="E240" s="65" t="s">
        <v>4</v>
      </c>
      <c r="F240" s="71">
        <v>15.5</v>
      </c>
      <c r="G240" s="72">
        <v>16.100000000000001</v>
      </c>
      <c r="H240" s="73">
        <v>16.900000000000002</v>
      </c>
      <c r="I240" s="74">
        <v>17.3</v>
      </c>
      <c r="J240" s="73">
        <v>17.600000000000001</v>
      </c>
      <c r="K240" s="72">
        <v>18.5</v>
      </c>
      <c r="L240" s="71">
        <v>19.3</v>
      </c>
    </row>
    <row r="241" spans="1:12" outlineLevel="1" x14ac:dyDescent="0.2">
      <c r="A241" s="76"/>
      <c r="B241" s="39" t="s">
        <v>130</v>
      </c>
      <c r="C241" s="39" t="s">
        <v>138</v>
      </c>
      <c r="D241" s="39" t="s">
        <v>136</v>
      </c>
      <c r="E241" s="65" t="s">
        <v>14</v>
      </c>
      <c r="F241" s="71">
        <v>9.3000000000000007</v>
      </c>
      <c r="G241" s="72">
        <v>9.9</v>
      </c>
      <c r="H241" s="73">
        <v>10.4</v>
      </c>
      <c r="I241" s="74">
        <v>10.8</v>
      </c>
      <c r="J241" s="73">
        <v>11.100000000000001</v>
      </c>
      <c r="K241" s="72">
        <v>11.8</v>
      </c>
      <c r="L241" s="71">
        <v>12.5</v>
      </c>
    </row>
    <row r="242" spans="1:12" outlineLevel="1" x14ac:dyDescent="0.2">
      <c r="A242" s="76"/>
      <c r="B242" s="39" t="s">
        <v>130</v>
      </c>
      <c r="C242" s="39" t="s">
        <v>138</v>
      </c>
      <c r="D242" s="39" t="s">
        <v>136</v>
      </c>
      <c r="E242" s="65" t="s">
        <v>0</v>
      </c>
      <c r="F242" s="71">
        <v>19.700000000000003</v>
      </c>
      <c r="G242" s="72">
        <v>20.3</v>
      </c>
      <c r="H242" s="73">
        <v>21.200000000000003</v>
      </c>
      <c r="I242" s="74">
        <v>21.6</v>
      </c>
      <c r="J242" s="73">
        <v>22</v>
      </c>
      <c r="K242" s="72">
        <v>22.900000000000002</v>
      </c>
      <c r="L242" s="71">
        <v>23.700000000000003</v>
      </c>
    </row>
    <row r="243" spans="1:12" outlineLevel="1" x14ac:dyDescent="0.2">
      <c r="A243" s="76"/>
    </row>
    <row r="244" spans="1:12" x14ac:dyDescent="0.2">
      <c r="A244" s="76">
        <v>206</v>
      </c>
      <c r="B244" s="39" t="s">
        <v>130</v>
      </c>
      <c r="C244" s="39" t="s">
        <v>139</v>
      </c>
      <c r="D244" s="39" t="s">
        <v>136</v>
      </c>
      <c r="E244" s="153" t="s">
        <v>189</v>
      </c>
    </row>
    <row r="245" spans="1:12" outlineLevel="1" x14ac:dyDescent="0.2">
      <c r="A245" s="76"/>
      <c r="B245" s="39" t="s">
        <v>130</v>
      </c>
      <c r="C245" s="39" t="s">
        <v>139</v>
      </c>
      <c r="D245" s="39" t="s">
        <v>136</v>
      </c>
      <c r="E245" s="65" t="s">
        <v>338</v>
      </c>
      <c r="F245" s="66">
        <v>0.49</v>
      </c>
      <c r="G245" s="67">
        <v>0.51200000000000001</v>
      </c>
      <c r="H245" s="68">
        <v>0.54600000000000004</v>
      </c>
      <c r="I245" s="69">
        <v>0.56500000000000006</v>
      </c>
      <c r="J245" s="68">
        <v>0.57799999999999996</v>
      </c>
      <c r="K245" s="67">
        <v>0.59899999999999998</v>
      </c>
      <c r="L245" s="66">
        <v>0.61199999999999999</v>
      </c>
    </row>
    <row r="246" spans="1:12" outlineLevel="1" x14ac:dyDescent="0.2">
      <c r="A246" s="76"/>
      <c r="B246" s="39" t="s">
        <v>130</v>
      </c>
      <c r="C246" s="39" t="s">
        <v>139</v>
      </c>
      <c r="D246" s="39" t="s">
        <v>136</v>
      </c>
      <c r="E246" s="65" t="s">
        <v>339</v>
      </c>
      <c r="F246" s="66">
        <v>0.502</v>
      </c>
      <c r="G246" s="67">
        <v>0.52400000000000002</v>
      </c>
      <c r="H246" s="68">
        <v>0.55800000000000005</v>
      </c>
      <c r="I246" s="69">
        <v>0.57699999999999996</v>
      </c>
      <c r="J246" s="68">
        <v>0.59</v>
      </c>
      <c r="K246" s="67">
        <v>0.61</v>
      </c>
      <c r="L246" s="66">
        <v>0.624</v>
      </c>
    </row>
    <row r="247" spans="1:12" outlineLevel="1" x14ac:dyDescent="0.2">
      <c r="A247" s="76"/>
      <c r="B247" s="39" t="s">
        <v>130</v>
      </c>
      <c r="C247" s="39" t="s">
        <v>139</v>
      </c>
      <c r="D247" s="39" t="s">
        <v>136</v>
      </c>
      <c r="E247" s="65" t="s">
        <v>351</v>
      </c>
      <c r="F247" s="66">
        <v>0.51500000000000001</v>
      </c>
      <c r="G247" s="67">
        <v>0.53600000000000003</v>
      </c>
      <c r="H247" s="68">
        <v>0.57000000000000006</v>
      </c>
      <c r="I247" s="69">
        <v>0.58899999999999997</v>
      </c>
      <c r="J247" s="68">
        <v>0.60199999999999998</v>
      </c>
      <c r="K247" s="67">
        <v>0.622</v>
      </c>
      <c r="L247" s="66">
        <v>0.63500000000000001</v>
      </c>
    </row>
    <row r="248" spans="1:12" outlineLevel="1" x14ac:dyDescent="0.2">
      <c r="A248" s="76"/>
      <c r="B248" s="39" t="s">
        <v>130</v>
      </c>
      <c r="C248" s="39" t="s">
        <v>139</v>
      </c>
      <c r="D248" s="39" t="s">
        <v>136</v>
      </c>
      <c r="E248" s="65" t="s">
        <v>352</v>
      </c>
      <c r="F248" s="66">
        <v>0.51800000000000002</v>
      </c>
      <c r="G248" s="67">
        <v>0.54</v>
      </c>
      <c r="H248" s="68">
        <v>0.57400000000000007</v>
      </c>
      <c r="I248" s="69">
        <v>0.59199999999999997</v>
      </c>
      <c r="J248" s="68">
        <v>0.60499999999999998</v>
      </c>
      <c r="K248" s="67">
        <v>0.625</v>
      </c>
      <c r="L248" s="66">
        <v>0.63800000000000001</v>
      </c>
    </row>
    <row r="249" spans="1:12" outlineLevel="1" x14ac:dyDescent="0.2">
      <c r="A249" s="76"/>
      <c r="B249" s="39" t="s">
        <v>130</v>
      </c>
      <c r="C249" s="39" t="s">
        <v>139</v>
      </c>
      <c r="D249" s="39" t="s">
        <v>136</v>
      </c>
      <c r="E249" s="65" t="s">
        <v>104</v>
      </c>
      <c r="F249" s="69"/>
      <c r="G249" s="69"/>
      <c r="H249" s="68">
        <v>7.0000000000000001E-3</v>
      </c>
      <c r="I249" s="69">
        <v>0.01</v>
      </c>
      <c r="J249" s="68">
        <v>1.2E-2</v>
      </c>
      <c r="K249" s="67">
        <v>1.9E-2</v>
      </c>
      <c r="L249" s="66">
        <v>2.6000000000000002E-2</v>
      </c>
    </row>
    <row r="250" spans="1:12" outlineLevel="1" x14ac:dyDescent="0.2">
      <c r="A250" s="76"/>
      <c r="B250" s="39" t="s">
        <v>130</v>
      </c>
      <c r="C250" s="39" t="s">
        <v>139</v>
      </c>
      <c r="D250" s="39" t="s">
        <v>136</v>
      </c>
      <c r="E250" s="65" t="s">
        <v>105</v>
      </c>
      <c r="F250" s="69"/>
      <c r="G250" s="69"/>
      <c r="H250" s="68">
        <v>7.2000000000000008E-2</v>
      </c>
      <c r="I250" s="69">
        <v>8.3000000000000004E-2</v>
      </c>
      <c r="J250" s="68">
        <v>8.8999999999999996E-2</v>
      </c>
      <c r="K250" s="67">
        <v>0.105</v>
      </c>
      <c r="L250" s="66">
        <v>0.115</v>
      </c>
    </row>
    <row r="251" spans="1:12" outlineLevel="1" x14ac:dyDescent="0.2">
      <c r="A251" s="76"/>
      <c r="B251" s="39" t="s">
        <v>130</v>
      </c>
      <c r="C251" s="39" t="s">
        <v>139</v>
      </c>
      <c r="D251" s="39" t="s">
        <v>136</v>
      </c>
      <c r="E251" s="65" t="s">
        <v>106</v>
      </c>
      <c r="F251" s="69"/>
      <c r="G251" s="69"/>
      <c r="H251" s="69"/>
      <c r="I251" s="69">
        <v>6.5000000000000002E-2</v>
      </c>
      <c r="J251" s="69"/>
      <c r="K251" s="67">
        <v>8.7999999999999995E-2</v>
      </c>
      <c r="L251" s="66">
        <v>0.109</v>
      </c>
    </row>
    <row r="252" spans="1:12" outlineLevel="1" x14ac:dyDescent="0.2">
      <c r="A252" s="76"/>
      <c r="B252" s="39" t="s">
        <v>130</v>
      </c>
      <c r="C252" s="39" t="s">
        <v>139</v>
      </c>
      <c r="D252" s="39" t="s">
        <v>136</v>
      </c>
      <c r="E252" s="65" t="s">
        <v>107</v>
      </c>
      <c r="F252" s="69"/>
      <c r="G252" s="69"/>
      <c r="H252" s="69"/>
      <c r="I252" s="69">
        <v>1.3000000000000001E-2</v>
      </c>
      <c r="J252" s="69"/>
      <c r="K252" s="67">
        <v>2.6000000000000002E-2</v>
      </c>
      <c r="L252" s="66">
        <v>0.05</v>
      </c>
    </row>
    <row r="253" spans="1:12" outlineLevel="1" x14ac:dyDescent="0.2">
      <c r="A253" s="76"/>
      <c r="B253" s="39" t="s">
        <v>130</v>
      </c>
      <c r="C253" s="39" t="s">
        <v>139</v>
      </c>
      <c r="D253" s="39" t="s">
        <v>136</v>
      </c>
      <c r="E253" s="65" t="s">
        <v>108</v>
      </c>
      <c r="F253" s="69"/>
      <c r="G253" s="69"/>
      <c r="H253" s="69"/>
      <c r="I253" s="69">
        <v>5.5E-2</v>
      </c>
      <c r="J253" s="69"/>
      <c r="K253" s="67">
        <v>7.4999999999999997E-2</v>
      </c>
      <c r="L253" s="66">
        <v>9.2999999999999999E-2</v>
      </c>
    </row>
    <row r="254" spans="1:12" outlineLevel="1" x14ac:dyDescent="0.2">
      <c r="A254" s="76"/>
      <c r="B254" s="39" t="s">
        <v>130</v>
      </c>
      <c r="C254" s="39" t="s">
        <v>139</v>
      </c>
      <c r="D254" s="39" t="s">
        <v>136</v>
      </c>
      <c r="E254" s="65" t="s">
        <v>109</v>
      </c>
      <c r="F254" s="66">
        <v>4.9000000000000002E-2</v>
      </c>
      <c r="G254" s="67">
        <v>5.9000000000000004E-2</v>
      </c>
      <c r="H254" s="68">
        <v>7.1000000000000008E-2</v>
      </c>
      <c r="I254" s="69">
        <v>0.08</v>
      </c>
      <c r="J254" s="68">
        <v>0.09</v>
      </c>
      <c r="K254" s="69"/>
      <c r="L254" s="69"/>
    </row>
    <row r="255" spans="1:12" outlineLevel="1" x14ac:dyDescent="0.2">
      <c r="A255" s="76"/>
      <c r="B255" s="39" t="s">
        <v>130</v>
      </c>
      <c r="C255" s="39" t="s">
        <v>139</v>
      </c>
      <c r="D255" s="39" t="s">
        <v>136</v>
      </c>
      <c r="E255" s="65" t="s">
        <v>110</v>
      </c>
      <c r="F255" s="69"/>
      <c r="G255" s="69"/>
      <c r="H255" s="69"/>
      <c r="I255" s="69">
        <v>1.4999999999999999E-2</v>
      </c>
      <c r="J255" s="69"/>
      <c r="K255" s="67">
        <v>1.8000000000000002E-2</v>
      </c>
      <c r="L255" s="66">
        <v>0.02</v>
      </c>
    </row>
    <row r="256" spans="1:12" outlineLevel="1" x14ac:dyDescent="0.2">
      <c r="A256" s="76"/>
      <c r="B256" s="39" t="s">
        <v>130</v>
      </c>
      <c r="C256" s="39" t="s">
        <v>139</v>
      </c>
      <c r="D256" s="39" t="s">
        <v>136</v>
      </c>
      <c r="E256" s="65" t="s">
        <v>34</v>
      </c>
      <c r="F256" s="69"/>
      <c r="G256" s="69"/>
      <c r="H256" s="68">
        <v>5.2000000000000005E-2</v>
      </c>
      <c r="I256" s="69">
        <v>5.6000000000000001E-2</v>
      </c>
      <c r="J256" s="68">
        <v>5.9000000000000004E-2</v>
      </c>
      <c r="K256" s="67">
        <v>6.6000000000000003E-2</v>
      </c>
      <c r="L256" s="66">
        <v>8.3000000000000004E-2</v>
      </c>
    </row>
    <row r="257" spans="1:12" outlineLevel="1" x14ac:dyDescent="0.2">
      <c r="A257" s="76"/>
      <c r="B257" s="39" t="s">
        <v>130</v>
      </c>
      <c r="C257" s="39" t="s">
        <v>139</v>
      </c>
      <c r="D257" s="39" t="s">
        <v>136</v>
      </c>
      <c r="E257" s="65" t="s">
        <v>4</v>
      </c>
      <c r="F257" s="71">
        <v>15.700000000000001</v>
      </c>
      <c r="G257" s="72">
        <v>16.2</v>
      </c>
      <c r="H257" s="73">
        <v>16.900000000000002</v>
      </c>
      <c r="I257" s="74">
        <v>17.2</v>
      </c>
      <c r="J257" s="73">
        <v>17.5</v>
      </c>
      <c r="K257" s="72">
        <v>18.100000000000001</v>
      </c>
      <c r="L257" s="71">
        <v>19</v>
      </c>
    </row>
    <row r="258" spans="1:12" outlineLevel="1" x14ac:dyDescent="0.2">
      <c r="A258" s="76"/>
      <c r="B258" s="39" t="s">
        <v>130</v>
      </c>
      <c r="C258" s="39" t="s">
        <v>139</v>
      </c>
      <c r="D258" s="39" t="s">
        <v>136</v>
      </c>
      <c r="E258" s="65" t="s">
        <v>14</v>
      </c>
      <c r="F258" s="71">
        <v>9.5</v>
      </c>
      <c r="G258" s="72">
        <v>9.9</v>
      </c>
      <c r="H258" s="73">
        <v>10.4</v>
      </c>
      <c r="I258" s="74">
        <v>10.8</v>
      </c>
      <c r="J258" s="73">
        <v>11</v>
      </c>
      <c r="K258" s="72">
        <v>11.600000000000001</v>
      </c>
      <c r="L258" s="71">
        <v>12.200000000000001</v>
      </c>
    </row>
    <row r="259" spans="1:12" outlineLevel="1" x14ac:dyDescent="0.2">
      <c r="A259" s="76"/>
      <c r="B259" s="39" t="s">
        <v>130</v>
      </c>
      <c r="C259" s="39" t="s">
        <v>139</v>
      </c>
      <c r="D259" s="39" t="s">
        <v>136</v>
      </c>
      <c r="E259" s="65" t="s">
        <v>0</v>
      </c>
      <c r="F259" s="71">
        <v>19.900000000000002</v>
      </c>
      <c r="G259" s="72">
        <v>20.6</v>
      </c>
      <c r="H259" s="73">
        <v>21.3</v>
      </c>
      <c r="I259" s="74">
        <v>21.6</v>
      </c>
      <c r="J259" s="73">
        <v>22</v>
      </c>
      <c r="K259" s="72">
        <v>22.900000000000002</v>
      </c>
      <c r="L259" s="71">
        <v>23.5</v>
      </c>
    </row>
    <row r="260" spans="1:12" outlineLevel="1" x14ac:dyDescent="0.2">
      <c r="A260" s="76"/>
    </row>
    <row r="261" spans="1:12" x14ac:dyDescent="0.2">
      <c r="A261" s="76">
        <v>36</v>
      </c>
      <c r="B261" s="39" t="s">
        <v>131</v>
      </c>
      <c r="C261" s="39" t="s">
        <v>137</v>
      </c>
      <c r="D261" s="39" t="s">
        <v>136</v>
      </c>
      <c r="E261" s="153" t="s">
        <v>190</v>
      </c>
    </row>
    <row r="262" spans="1:12" outlineLevel="1" x14ac:dyDescent="0.2">
      <c r="A262" s="76"/>
      <c r="B262" s="39" t="s">
        <v>131</v>
      </c>
      <c r="C262" s="39" t="s">
        <v>137</v>
      </c>
      <c r="D262" s="39" t="s">
        <v>136</v>
      </c>
      <c r="E262" s="65" t="s">
        <v>338</v>
      </c>
      <c r="F262" s="66">
        <v>0.46400000000000002</v>
      </c>
      <c r="G262" s="67">
        <v>0.51600000000000001</v>
      </c>
      <c r="H262" s="68">
        <v>0.54400000000000004</v>
      </c>
      <c r="I262" s="69">
        <v>0.54800000000000004</v>
      </c>
      <c r="J262" s="68">
        <v>0.55500000000000005</v>
      </c>
      <c r="K262" s="67">
        <v>0.58199999999999996</v>
      </c>
      <c r="L262" s="66">
        <v>0.63500000000000001</v>
      </c>
    </row>
    <row r="263" spans="1:12" outlineLevel="1" x14ac:dyDescent="0.2">
      <c r="A263" s="76"/>
      <c r="B263" s="39" t="s">
        <v>131</v>
      </c>
      <c r="C263" s="39" t="s">
        <v>137</v>
      </c>
      <c r="D263" s="39" t="s">
        <v>136</v>
      </c>
      <c r="E263" s="65" t="s">
        <v>339</v>
      </c>
      <c r="F263" s="66">
        <v>0.47700000000000004</v>
      </c>
      <c r="G263" s="67">
        <v>0.52800000000000002</v>
      </c>
      <c r="H263" s="68">
        <v>0.55700000000000005</v>
      </c>
      <c r="I263" s="69">
        <v>0.56100000000000005</v>
      </c>
      <c r="J263" s="68">
        <v>0.56800000000000006</v>
      </c>
      <c r="K263" s="67">
        <v>0.59399999999999997</v>
      </c>
      <c r="L263" s="66">
        <v>0.64700000000000002</v>
      </c>
    </row>
    <row r="264" spans="1:12" outlineLevel="1" x14ac:dyDescent="0.2">
      <c r="A264" s="76"/>
      <c r="B264" s="39" t="s">
        <v>131</v>
      </c>
      <c r="C264" s="39" t="s">
        <v>137</v>
      </c>
      <c r="D264" s="39" t="s">
        <v>136</v>
      </c>
      <c r="E264" s="65" t="s">
        <v>351</v>
      </c>
      <c r="F264" s="66">
        <v>0.48899999999999999</v>
      </c>
      <c r="G264" s="67">
        <v>0.54100000000000004</v>
      </c>
      <c r="H264" s="68">
        <v>0.56900000000000006</v>
      </c>
      <c r="I264" s="69">
        <v>0.57300000000000006</v>
      </c>
      <c r="J264" s="68">
        <v>0.57999999999999996</v>
      </c>
      <c r="K264" s="67">
        <v>0.60599999999999998</v>
      </c>
      <c r="L264" s="66">
        <v>0.65800000000000003</v>
      </c>
    </row>
    <row r="265" spans="1:12" outlineLevel="1" x14ac:dyDescent="0.2">
      <c r="A265" s="76"/>
      <c r="B265" s="39" t="s">
        <v>131</v>
      </c>
      <c r="C265" s="39" t="s">
        <v>137</v>
      </c>
      <c r="D265" s="39" t="s">
        <v>136</v>
      </c>
      <c r="E265" s="65" t="s">
        <v>352</v>
      </c>
      <c r="F265" s="66">
        <v>0.49299999999999999</v>
      </c>
      <c r="G265" s="67">
        <v>0.54400000000000004</v>
      </c>
      <c r="H265" s="68">
        <v>0.57200000000000006</v>
      </c>
      <c r="I265" s="69">
        <v>0.57600000000000007</v>
      </c>
      <c r="J265" s="68">
        <v>0.58299999999999996</v>
      </c>
      <c r="K265" s="67">
        <v>0.60899999999999999</v>
      </c>
      <c r="L265" s="66">
        <v>0.66100000000000003</v>
      </c>
    </row>
    <row r="266" spans="1:12" outlineLevel="1" x14ac:dyDescent="0.2">
      <c r="A266" s="76"/>
      <c r="B266" s="39" t="s">
        <v>131</v>
      </c>
      <c r="C266" s="39" t="s">
        <v>137</v>
      </c>
      <c r="D266" s="39" t="s">
        <v>136</v>
      </c>
      <c r="E266" s="65" t="s">
        <v>104</v>
      </c>
      <c r="F266" s="69"/>
      <c r="G266" s="69"/>
      <c r="H266" s="68">
        <v>1.0999999999999999E-2</v>
      </c>
      <c r="I266" s="69">
        <v>1.4E-2</v>
      </c>
      <c r="J266" s="68">
        <v>2.1000000000000001E-2</v>
      </c>
      <c r="K266" s="67">
        <v>2.7E-2</v>
      </c>
      <c r="L266" s="66">
        <v>3.5000000000000003E-2</v>
      </c>
    </row>
    <row r="267" spans="1:12" outlineLevel="1" x14ac:dyDescent="0.2">
      <c r="A267" s="76"/>
      <c r="B267" s="39" t="s">
        <v>131</v>
      </c>
      <c r="C267" s="39" t="s">
        <v>137</v>
      </c>
      <c r="D267" s="39" t="s">
        <v>136</v>
      </c>
      <c r="E267" s="65" t="s">
        <v>105</v>
      </c>
      <c r="F267" s="69"/>
      <c r="G267" s="69"/>
      <c r="H267" s="68">
        <v>8.5000000000000006E-2</v>
      </c>
      <c r="I267" s="69">
        <v>9.0999999999999998E-2</v>
      </c>
      <c r="J267" s="68">
        <v>0.10200000000000001</v>
      </c>
      <c r="K267" s="67">
        <v>0.11700000000000001</v>
      </c>
      <c r="L267" s="66">
        <v>0.13900000000000001</v>
      </c>
    </row>
    <row r="268" spans="1:12" outlineLevel="1" x14ac:dyDescent="0.2">
      <c r="A268" s="76"/>
      <c r="B268" s="39" t="s">
        <v>131</v>
      </c>
      <c r="C268" s="39" t="s">
        <v>137</v>
      </c>
      <c r="D268" s="39" t="s">
        <v>136</v>
      </c>
      <c r="E268" s="65" t="s">
        <v>106</v>
      </c>
      <c r="F268" s="69"/>
      <c r="G268" s="69"/>
      <c r="H268" s="69"/>
      <c r="I268" s="69">
        <v>5.6000000000000001E-2</v>
      </c>
      <c r="J268" s="69"/>
      <c r="K268" s="67">
        <v>8.2000000000000003E-2</v>
      </c>
      <c r="L268" s="66">
        <v>9.5000000000000001E-2</v>
      </c>
    </row>
    <row r="269" spans="1:12" outlineLevel="1" x14ac:dyDescent="0.2">
      <c r="A269" s="76"/>
      <c r="B269" s="39" t="s">
        <v>131</v>
      </c>
      <c r="C269" s="39" t="s">
        <v>137</v>
      </c>
      <c r="D269" s="39" t="s">
        <v>136</v>
      </c>
      <c r="E269" s="65" t="s">
        <v>107</v>
      </c>
      <c r="F269" s="69"/>
      <c r="G269" s="69"/>
      <c r="H269" s="69"/>
      <c r="I269" s="69">
        <v>1.8000000000000002E-2</v>
      </c>
      <c r="J269" s="69"/>
      <c r="K269" s="67">
        <v>3.5000000000000003E-2</v>
      </c>
      <c r="L269" s="66">
        <v>5.6000000000000001E-2</v>
      </c>
    </row>
    <row r="270" spans="1:12" outlineLevel="1" x14ac:dyDescent="0.2">
      <c r="A270" s="76"/>
      <c r="B270" s="39" t="s">
        <v>131</v>
      </c>
      <c r="C270" s="39" t="s">
        <v>137</v>
      </c>
      <c r="D270" s="39" t="s">
        <v>136</v>
      </c>
      <c r="E270" s="65" t="s">
        <v>108</v>
      </c>
      <c r="F270" s="69"/>
      <c r="G270" s="69"/>
      <c r="H270" s="69"/>
      <c r="I270" s="69">
        <v>6.3E-2</v>
      </c>
      <c r="J270" s="69"/>
      <c r="K270" s="67">
        <v>0.10100000000000001</v>
      </c>
      <c r="L270" s="66">
        <v>0.11700000000000001</v>
      </c>
    </row>
    <row r="271" spans="1:12" outlineLevel="1" x14ac:dyDescent="0.2">
      <c r="A271" s="76"/>
      <c r="B271" s="39" t="s">
        <v>131</v>
      </c>
      <c r="C271" s="39" t="s">
        <v>137</v>
      </c>
      <c r="D271" s="39" t="s">
        <v>136</v>
      </c>
      <c r="E271" s="65" t="s">
        <v>109</v>
      </c>
      <c r="F271" s="66">
        <v>3.6000000000000004E-2</v>
      </c>
      <c r="G271" s="67">
        <v>4.3000000000000003E-2</v>
      </c>
      <c r="H271" s="68">
        <v>5.5E-2</v>
      </c>
      <c r="I271" s="69">
        <v>6.9000000000000006E-2</v>
      </c>
      <c r="J271" s="68">
        <v>7.2999999999999995E-2</v>
      </c>
      <c r="K271" s="69"/>
      <c r="L271" s="69"/>
    </row>
    <row r="272" spans="1:12" outlineLevel="1" x14ac:dyDescent="0.2">
      <c r="A272" s="76"/>
      <c r="B272" s="39" t="s">
        <v>131</v>
      </c>
      <c r="C272" s="39" t="s">
        <v>137</v>
      </c>
      <c r="D272" s="39" t="s">
        <v>136</v>
      </c>
      <c r="E272" s="65" t="s">
        <v>110</v>
      </c>
      <c r="F272" s="69"/>
      <c r="G272" s="69"/>
      <c r="H272" s="69"/>
      <c r="I272" s="69">
        <v>1.4999999999999999E-2</v>
      </c>
      <c r="J272" s="69"/>
      <c r="K272" s="67">
        <v>2.1999999999999999E-2</v>
      </c>
      <c r="L272" s="66">
        <v>2.4E-2</v>
      </c>
    </row>
    <row r="273" spans="1:12" outlineLevel="1" x14ac:dyDescent="0.2">
      <c r="A273" s="76"/>
      <c r="B273" s="39" t="s">
        <v>131</v>
      </c>
      <c r="C273" s="39" t="s">
        <v>137</v>
      </c>
      <c r="D273" s="39" t="s">
        <v>136</v>
      </c>
      <c r="E273" s="65" t="s">
        <v>34</v>
      </c>
      <c r="F273" s="69"/>
      <c r="G273" s="69"/>
      <c r="H273" s="68">
        <v>6.6000000000000003E-2</v>
      </c>
      <c r="I273" s="69">
        <v>7.3999999999999996E-2</v>
      </c>
      <c r="J273" s="68">
        <v>8.2000000000000003E-2</v>
      </c>
      <c r="K273" s="67">
        <v>0.1</v>
      </c>
      <c r="L273" s="66">
        <v>0.126</v>
      </c>
    </row>
    <row r="274" spans="1:12" outlineLevel="1" x14ac:dyDescent="0.2">
      <c r="A274" s="76"/>
      <c r="B274" s="39" t="s">
        <v>131</v>
      </c>
      <c r="C274" s="39" t="s">
        <v>137</v>
      </c>
      <c r="D274" s="39" t="s">
        <v>136</v>
      </c>
      <c r="E274" s="65" t="s">
        <v>4</v>
      </c>
      <c r="F274" s="71">
        <v>13.9</v>
      </c>
      <c r="G274" s="72">
        <v>15.700000000000001</v>
      </c>
      <c r="H274" s="73">
        <v>17.7</v>
      </c>
      <c r="I274" s="74">
        <v>18.2</v>
      </c>
      <c r="J274" s="73">
        <v>18.900000000000002</v>
      </c>
      <c r="K274" s="72">
        <v>19.8</v>
      </c>
      <c r="L274" s="71">
        <v>20.400000000000002</v>
      </c>
    </row>
    <row r="275" spans="1:12" outlineLevel="1" x14ac:dyDescent="0.2">
      <c r="A275" s="76"/>
      <c r="B275" s="39" t="s">
        <v>131</v>
      </c>
      <c r="C275" s="39" t="s">
        <v>137</v>
      </c>
      <c r="D275" s="39" t="s">
        <v>136</v>
      </c>
      <c r="E275" s="65" t="s">
        <v>14</v>
      </c>
      <c r="F275" s="71">
        <v>7.8000000000000007</v>
      </c>
      <c r="G275" s="72">
        <v>8.8000000000000007</v>
      </c>
      <c r="H275" s="73">
        <v>9.8000000000000007</v>
      </c>
      <c r="I275" s="74">
        <v>10.3</v>
      </c>
      <c r="J275" s="73">
        <v>10.5</v>
      </c>
      <c r="K275" s="72">
        <v>11.4</v>
      </c>
      <c r="L275" s="71">
        <v>11.8</v>
      </c>
    </row>
    <row r="276" spans="1:12" outlineLevel="1" x14ac:dyDescent="0.2">
      <c r="A276" s="76"/>
      <c r="B276" s="39" t="s">
        <v>131</v>
      </c>
      <c r="C276" s="39" t="s">
        <v>137</v>
      </c>
      <c r="D276" s="39" t="s">
        <v>136</v>
      </c>
      <c r="E276" s="65" t="s">
        <v>0</v>
      </c>
      <c r="F276" s="71">
        <v>20.6</v>
      </c>
      <c r="G276" s="72">
        <v>21.3</v>
      </c>
      <c r="H276" s="73">
        <v>24.1</v>
      </c>
      <c r="I276" s="74">
        <v>24.900000000000002</v>
      </c>
      <c r="J276" s="73">
        <v>25.400000000000002</v>
      </c>
      <c r="K276" s="72">
        <v>26.8</v>
      </c>
      <c r="L276" s="71">
        <v>28.400000000000002</v>
      </c>
    </row>
    <row r="277" spans="1:12" outlineLevel="1" x14ac:dyDescent="0.2">
      <c r="A277" s="76"/>
    </row>
    <row r="278" spans="1:12" x14ac:dyDescent="0.2">
      <c r="A278" s="76">
        <v>95</v>
      </c>
      <c r="B278" s="39" t="s">
        <v>131</v>
      </c>
      <c r="C278" s="39" t="s">
        <v>138</v>
      </c>
      <c r="D278" s="39" t="s">
        <v>136</v>
      </c>
      <c r="E278" s="153" t="s">
        <v>191</v>
      </c>
    </row>
    <row r="279" spans="1:12" outlineLevel="1" x14ac:dyDescent="0.2">
      <c r="A279" s="76"/>
      <c r="B279" s="39" t="s">
        <v>131</v>
      </c>
      <c r="C279" s="39" t="s">
        <v>138</v>
      </c>
      <c r="D279" s="39" t="s">
        <v>136</v>
      </c>
      <c r="E279" s="65" t="s">
        <v>338</v>
      </c>
      <c r="F279" s="66">
        <v>0.48499999999999999</v>
      </c>
      <c r="G279" s="67">
        <v>0.51300000000000001</v>
      </c>
      <c r="H279" s="68">
        <v>0.54</v>
      </c>
      <c r="I279" s="69">
        <v>0.54900000000000004</v>
      </c>
      <c r="J279" s="68">
        <v>0.55800000000000005</v>
      </c>
      <c r="K279" s="67">
        <v>0.58299999999999996</v>
      </c>
      <c r="L279" s="66">
        <v>0.6</v>
      </c>
    </row>
    <row r="280" spans="1:12" outlineLevel="1" x14ac:dyDescent="0.2">
      <c r="A280" s="76"/>
      <c r="B280" s="39" t="s">
        <v>131</v>
      </c>
      <c r="C280" s="39" t="s">
        <v>138</v>
      </c>
      <c r="D280" s="39" t="s">
        <v>136</v>
      </c>
      <c r="E280" s="65" t="s">
        <v>339</v>
      </c>
      <c r="F280" s="66">
        <v>0.497</v>
      </c>
      <c r="G280" s="67">
        <v>0.52500000000000002</v>
      </c>
      <c r="H280" s="68">
        <v>0.55200000000000005</v>
      </c>
      <c r="I280" s="69">
        <v>0.56100000000000005</v>
      </c>
      <c r="J280" s="68">
        <v>0.57000000000000006</v>
      </c>
      <c r="K280" s="67">
        <v>0.59499999999999997</v>
      </c>
      <c r="L280" s="66">
        <v>0.61199999999999999</v>
      </c>
    </row>
    <row r="281" spans="1:12" outlineLevel="1" x14ac:dyDescent="0.2">
      <c r="A281" s="76"/>
      <c r="B281" s="39" t="s">
        <v>131</v>
      </c>
      <c r="C281" s="39" t="s">
        <v>138</v>
      </c>
      <c r="D281" s="39" t="s">
        <v>136</v>
      </c>
      <c r="E281" s="65" t="s">
        <v>351</v>
      </c>
      <c r="F281" s="66">
        <v>0.51</v>
      </c>
      <c r="G281" s="67">
        <v>0.53800000000000003</v>
      </c>
      <c r="H281" s="68">
        <v>0.56500000000000006</v>
      </c>
      <c r="I281" s="69">
        <v>0.57400000000000007</v>
      </c>
      <c r="J281" s="68">
        <v>0.58199999999999996</v>
      </c>
      <c r="K281" s="67">
        <v>0.60699999999999998</v>
      </c>
      <c r="L281" s="66">
        <v>0.624</v>
      </c>
    </row>
    <row r="282" spans="1:12" outlineLevel="1" x14ac:dyDescent="0.2">
      <c r="A282" s="76"/>
      <c r="B282" s="39" t="s">
        <v>131</v>
      </c>
      <c r="C282" s="39" t="s">
        <v>138</v>
      </c>
      <c r="D282" s="39" t="s">
        <v>136</v>
      </c>
      <c r="E282" s="65" t="s">
        <v>352</v>
      </c>
      <c r="F282" s="66">
        <v>0.51300000000000001</v>
      </c>
      <c r="G282" s="67">
        <v>0.54100000000000004</v>
      </c>
      <c r="H282" s="68">
        <v>0.56800000000000006</v>
      </c>
      <c r="I282" s="69">
        <v>0.57699999999999996</v>
      </c>
      <c r="J282" s="68">
        <v>0.58499999999999996</v>
      </c>
      <c r="K282" s="67">
        <v>0.61</v>
      </c>
      <c r="L282" s="66">
        <v>0.627</v>
      </c>
    </row>
    <row r="283" spans="1:12" outlineLevel="1" x14ac:dyDescent="0.2">
      <c r="A283" s="76"/>
      <c r="B283" s="39" t="s">
        <v>131</v>
      </c>
      <c r="C283" s="39" t="s">
        <v>138</v>
      </c>
      <c r="D283" s="39" t="s">
        <v>136</v>
      </c>
      <c r="E283" s="65" t="s">
        <v>104</v>
      </c>
      <c r="F283" s="69"/>
      <c r="G283" s="69"/>
      <c r="H283" s="68">
        <v>1.3000000000000001E-2</v>
      </c>
      <c r="I283" s="69">
        <v>1.4999999999999999E-2</v>
      </c>
      <c r="J283" s="68">
        <v>1.8000000000000002E-2</v>
      </c>
      <c r="K283" s="67">
        <v>2.7E-2</v>
      </c>
      <c r="L283" s="66">
        <v>3.7999999999999999E-2</v>
      </c>
    </row>
    <row r="284" spans="1:12" outlineLevel="1" x14ac:dyDescent="0.2">
      <c r="A284" s="76"/>
      <c r="B284" s="39" t="s">
        <v>131</v>
      </c>
      <c r="C284" s="39" t="s">
        <v>138</v>
      </c>
      <c r="D284" s="39" t="s">
        <v>136</v>
      </c>
      <c r="E284" s="65" t="s">
        <v>105</v>
      </c>
      <c r="F284" s="69"/>
      <c r="G284" s="69"/>
      <c r="H284" s="68">
        <v>8.1000000000000003E-2</v>
      </c>
      <c r="I284" s="69">
        <v>8.7999999999999995E-2</v>
      </c>
      <c r="J284" s="68">
        <v>9.5000000000000001E-2</v>
      </c>
      <c r="K284" s="67">
        <v>0.124</v>
      </c>
      <c r="L284" s="66">
        <v>0.14200000000000002</v>
      </c>
    </row>
    <row r="285" spans="1:12" outlineLevel="1" x14ac:dyDescent="0.2">
      <c r="A285" s="76"/>
      <c r="B285" s="39" t="s">
        <v>131</v>
      </c>
      <c r="C285" s="39" t="s">
        <v>138</v>
      </c>
      <c r="D285" s="39" t="s">
        <v>136</v>
      </c>
      <c r="E285" s="65" t="s">
        <v>106</v>
      </c>
      <c r="F285" s="69"/>
      <c r="G285" s="69"/>
      <c r="H285" s="69"/>
      <c r="I285" s="69">
        <v>6.2E-2</v>
      </c>
      <c r="J285" s="69"/>
      <c r="K285" s="67">
        <v>8.6000000000000007E-2</v>
      </c>
      <c r="L285" s="66">
        <v>0.10200000000000001</v>
      </c>
    </row>
    <row r="286" spans="1:12" outlineLevel="1" x14ac:dyDescent="0.2">
      <c r="A286" s="76"/>
      <c r="B286" s="39" t="s">
        <v>131</v>
      </c>
      <c r="C286" s="39" t="s">
        <v>138</v>
      </c>
      <c r="D286" s="39" t="s">
        <v>136</v>
      </c>
      <c r="E286" s="65" t="s">
        <v>107</v>
      </c>
      <c r="F286" s="69"/>
      <c r="G286" s="69"/>
      <c r="H286" s="69"/>
      <c r="I286" s="69">
        <v>1.4999999999999999E-2</v>
      </c>
      <c r="J286" s="69"/>
      <c r="K286" s="67">
        <v>3.5000000000000003E-2</v>
      </c>
      <c r="L286" s="66">
        <v>4.7E-2</v>
      </c>
    </row>
    <row r="287" spans="1:12" outlineLevel="1" x14ac:dyDescent="0.2">
      <c r="A287" s="76"/>
      <c r="B287" s="39" t="s">
        <v>131</v>
      </c>
      <c r="C287" s="39" t="s">
        <v>138</v>
      </c>
      <c r="D287" s="39" t="s">
        <v>136</v>
      </c>
      <c r="E287" s="65" t="s">
        <v>108</v>
      </c>
      <c r="F287" s="69"/>
      <c r="G287" s="69"/>
      <c r="H287" s="69"/>
      <c r="I287" s="69">
        <v>6.3E-2</v>
      </c>
      <c r="J287" s="69"/>
      <c r="K287" s="67">
        <v>9.7000000000000003E-2</v>
      </c>
      <c r="L287" s="66">
        <v>0.121</v>
      </c>
    </row>
    <row r="288" spans="1:12" outlineLevel="1" x14ac:dyDescent="0.2">
      <c r="A288" s="76"/>
      <c r="B288" s="39" t="s">
        <v>131</v>
      </c>
      <c r="C288" s="39" t="s">
        <v>138</v>
      </c>
      <c r="D288" s="39" t="s">
        <v>136</v>
      </c>
      <c r="E288" s="65" t="s">
        <v>109</v>
      </c>
      <c r="F288" s="66">
        <v>0.04</v>
      </c>
      <c r="G288" s="67">
        <v>4.9000000000000002E-2</v>
      </c>
      <c r="H288" s="68">
        <v>6.2E-2</v>
      </c>
      <c r="I288" s="69">
        <v>6.9000000000000006E-2</v>
      </c>
      <c r="J288" s="68">
        <v>7.2999999999999995E-2</v>
      </c>
      <c r="K288" s="69"/>
      <c r="L288" s="69"/>
    </row>
    <row r="289" spans="1:12" outlineLevel="1" x14ac:dyDescent="0.2">
      <c r="A289" s="76"/>
      <c r="B289" s="39" t="s">
        <v>131</v>
      </c>
      <c r="C289" s="39" t="s">
        <v>138</v>
      </c>
      <c r="D289" s="39" t="s">
        <v>136</v>
      </c>
      <c r="E289" s="65" t="s">
        <v>110</v>
      </c>
      <c r="F289" s="69"/>
      <c r="G289" s="69"/>
      <c r="H289" s="69"/>
      <c r="I289" s="69">
        <v>1.4E-2</v>
      </c>
      <c r="J289" s="69"/>
      <c r="K289" s="67">
        <v>1.8000000000000002E-2</v>
      </c>
      <c r="L289" s="66">
        <v>0.02</v>
      </c>
    </row>
    <row r="290" spans="1:12" outlineLevel="1" x14ac:dyDescent="0.2">
      <c r="A290" s="76"/>
      <c r="B290" s="39" t="s">
        <v>131</v>
      </c>
      <c r="C290" s="39" t="s">
        <v>138</v>
      </c>
      <c r="D290" s="39" t="s">
        <v>136</v>
      </c>
      <c r="E290" s="65" t="s">
        <v>34</v>
      </c>
      <c r="F290" s="69"/>
      <c r="G290" s="69"/>
      <c r="H290" s="68">
        <v>5.8000000000000003E-2</v>
      </c>
      <c r="I290" s="69">
        <v>6.3E-2</v>
      </c>
      <c r="J290" s="68">
        <v>6.8000000000000005E-2</v>
      </c>
      <c r="K290" s="67">
        <v>0.09</v>
      </c>
      <c r="L290" s="66">
        <v>0.10300000000000001</v>
      </c>
    </row>
    <row r="291" spans="1:12" outlineLevel="1" x14ac:dyDescent="0.2">
      <c r="A291" s="76"/>
      <c r="B291" s="39" t="s">
        <v>131</v>
      </c>
      <c r="C291" s="39" t="s">
        <v>138</v>
      </c>
      <c r="D291" s="39" t="s">
        <v>136</v>
      </c>
      <c r="E291" s="65" t="s">
        <v>4</v>
      </c>
      <c r="F291" s="71">
        <v>15.8</v>
      </c>
      <c r="G291" s="72">
        <v>16.5</v>
      </c>
      <c r="H291" s="73">
        <v>17.2</v>
      </c>
      <c r="I291" s="74">
        <v>17.600000000000001</v>
      </c>
      <c r="J291" s="73">
        <v>18</v>
      </c>
      <c r="K291" s="72">
        <v>19.100000000000001</v>
      </c>
      <c r="L291" s="71">
        <v>20</v>
      </c>
    </row>
    <row r="292" spans="1:12" outlineLevel="1" x14ac:dyDescent="0.2">
      <c r="A292" s="76"/>
      <c r="B292" s="39" t="s">
        <v>131</v>
      </c>
      <c r="C292" s="39" t="s">
        <v>138</v>
      </c>
      <c r="D292" s="39" t="s">
        <v>136</v>
      </c>
      <c r="E292" s="65" t="s">
        <v>14</v>
      </c>
      <c r="F292" s="71">
        <v>8.9</v>
      </c>
      <c r="G292" s="72">
        <v>9.3000000000000007</v>
      </c>
      <c r="H292" s="73">
        <v>10.100000000000001</v>
      </c>
      <c r="I292" s="74">
        <v>10.4</v>
      </c>
      <c r="J292" s="73">
        <v>10.600000000000001</v>
      </c>
      <c r="K292" s="72">
        <v>11.3</v>
      </c>
      <c r="L292" s="71">
        <v>12</v>
      </c>
    </row>
    <row r="293" spans="1:12" outlineLevel="1" x14ac:dyDescent="0.2">
      <c r="A293" s="76"/>
      <c r="B293" s="39" t="s">
        <v>131</v>
      </c>
      <c r="C293" s="39" t="s">
        <v>138</v>
      </c>
      <c r="D293" s="39" t="s">
        <v>136</v>
      </c>
      <c r="E293" s="65" t="s">
        <v>0</v>
      </c>
      <c r="F293" s="71">
        <v>22.3</v>
      </c>
      <c r="G293" s="72">
        <v>22.900000000000002</v>
      </c>
      <c r="H293" s="73">
        <v>23.700000000000003</v>
      </c>
      <c r="I293" s="74">
        <v>24.3</v>
      </c>
      <c r="J293" s="73">
        <v>24.700000000000003</v>
      </c>
      <c r="K293" s="72">
        <v>25.700000000000003</v>
      </c>
      <c r="L293" s="71">
        <v>26.700000000000003</v>
      </c>
    </row>
    <row r="294" spans="1:12" outlineLevel="1" x14ac:dyDescent="0.2">
      <c r="A294" s="76"/>
    </row>
    <row r="295" spans="1:12" x14ac:dyDescent="0.2">
      <c r="A295" s="76">
        <v>65</v>
      </c>
      <c r="B295" s="39" t="s">
        <v>131</v>
      </c>
      <c r="C295" s="39" t="s">
        <v>139</v>
      </c>
      <c r="D295" s="39" t="s">
        <v>136</v>
      </c>
      <c r="E295" s="153" t="s">
        <v>192</v>
      </c>
    </row>
    <row r="296" spans="1:12" outlineLevel="1" x14ac:dyDescent="0.2">
      <c r="A296" s="76"/>
      <c r="B296" s="39" t="s">
        <v>131</v>
      </c>
      <c r="C296" s="39" t="s">
        <v>139</v>
      </c>
      <c r="D296" s="39" t="s">
        <v>136</v>
      </c>
      <c r="E296" s="65" t="s">
        <v>338</v>
      </c>
      <c r="F296" s="66">
        <v>0.47700000000000004</v>
      </c>
      <c r="G296" s="67">
        <v>0.49199999999999999</v>
      </c>
      <c r="H296" s="68">
        <v>0.53600000000000003</v>
      </c>
      <c r="I296" s="69">
        <v>0.54500000000000004</v>
      </c>
      <c r="J296" s="68">
        <v>0.55100000000000005</v>
      </c>
      <c r="K296" s="67">
        <v>0.58099999999999996</v>
      </c>
      <c r="L296" s="66">
        <v>0.59799999999999998</v>
      </c>
    </row>
    <row r="297" spans="1:12" outlineLevel="1" x14ac:dyDescent="0.2">
      <c r="A297" s="76"/>
      <c r="B297" s="39" t="s">
        <v>131</v>
      </c>
      <c r="C297" s="39" t="s">
        <v>139</v>
      </c>
      <c r="D297" s="39" t="s">
        <v>136</v>
      </c>
      <c r="E297" s="65" t="s">
        <v>339</v>
      </c>
      <c r="F297" s="66">
        <v>0.49</v>
      </c>
      <c r="G297" s="67">
        <v>0.505</v>
      </c>
      <c r="H297" s="68">
        <v>0.54900000000000004</v>
      </c>
      <c r="I297" s="69">
        <v>0.55800000000000005</v>
      </c>
      <c r="J297" s="68">
        <v>0.56300000000000006</v>
      </c>
      <c r="K297" s="67">
        <v>0.59399999999999997</v>
      </c>
      <c r="L297" s="66">
        <v>0.61</v>
      </c>
    </row>
    <row r="298" spans="1:12" outlineLevel="1" x14ac:dyDescent="0.2">
      <c r="A298" s="76"/>
      <c r="B298" s="39" t="s">
        <v>131</v>
      </c>
      <c r="C298" s="39" t="s">
        <v>139</v>
      </c>
      <c r="D298" s="39" t="s">
        <v>136</v>
      </c>
      <c r="E298" s="65" t="s">
        <v>351</v>
      </c>
      <c r="F298" s="66">
        <v>0.502</v>
      </c>
      <c r="G298" s="67">
        <v>0.51700000000000002</v>
      </c>
      <c r="H298" s="68">
        <v>0.56100000000000005</v>
      </c>
      <c r="I298" s="69">
        <v>0.57000000000000006</v>
      </c>
      <c r="J298" s="68">
        <v>0.57600000000000007</v>
      </c>
      <c r="K298" s="67">
        <v>0.60599999999999998</v>
      </c>
      <c r="L298" s="66">
        <v>0.622</v>
      </c>
    </row>
    <row r="299" spans="1:12" outlineLevel="1" x14ac:dyDescent="0.2">
      <c r="A299" s="76"/>
      <c r="B299" s="39" t="s">
        <v>131</v>
      </c>
      <c r="C299" s="39" t="s">
        <v>139</v>
      </c>
      <c r="D299" s="39" t="s">
        <v>136</v>
      </c>
      <c r="E299" s="65" t="s">
        <v>352</v>
      </c>
      <c r="F299" s="66">
        <v>0.505</v>
      </c>
      <c r="G299" s="67">
        <v>0.52</v>
      </c>
      <c r="H299" s="68">
        <v>0.56400000000000006</v>
      </c>
      <c r="I299" s="69">
        <v>0.57300000000000006</v>
      </c>
      <c r="J299" s="68">
        <v>0.57899999999999996</v>
      </c>
      <c r="K299" s="67">
        <v>0.60899999999999999</v>
      </c>
      <c r="L299" s="66">
        <v>0.625</v>
      </c>
    </row>
    <row r="300" spans="1:12" outlineLevel="1" x14ac:dyDescent="0.2">
      <c r="A300" s="76"/>
      <c r="B300" s="39" t="s">
        <v>131</v>
      </c>
      <c r="C300" s="39" t="s">
        <v>139</v>
      </c>
      <c r="D300" s="39" t="s">
        <v>136</v>
      </c>
      <c r="E300" s="65" t="s">
        <v>104</v>
      </c>
      <c r="F300" s="69"/>
      <c r="G300" s="69"/>
      <c r="H300" s="68">
        <v>0.01</v>
      </c>
      <c r="I300" s="69">
        <v>1.3000000000000001E-2</v>
      </c>
      <c r="J300" s="68">
        <v>1.7000000000000001E-2</v>
      </c>
      <c r="K300" s="67">
        <v>2.5000000000000001E-2</v>
      </c>
      <c r="L300" s="66">
        <v>0.03</v>
      </c>
    </row>
    <row r="301" spans="1:12" outlineLevel="1" x14ac:dyDescent="0.2">
      <c r="A301" s="76"/>
      <c r="B301" s="39" t="s">
        <v>131</v>
      </c>
      <c r="C301" s="39" t="s">
        <v>139</v>
      </c>
      <c r="D301" s="39" t="s">
        <v>136</v>
      </c>
      <c r="E301" s="65" t="s">
        <v>105</v>
      </c>
      <c r="F301" s="69"/>
      <c r="G301" s="69"/>
      <c r="H301" s="68">
        <v>8.7000000000000008E-2</v>
      </c>
      <c r="I301" s="69">
        <v>9.1999999999999998E-2</v>
      </c>
      <c r="J301" s="68">
        <v>0.10200000000000001</v>
      </c>
      <c r="K301" s="67">
        <v>0.113</v>
      </c>
      <c r="L301" s="66">
        <v>0.128</v>
      </c>
    </row>
    <row r="302" spans="1:12" outlineLevel="1" x14ac:dyDescent="0.2">
      <c r="A302" s="76"/>
      <c r="B302" s="39" t="s">
        <v>131</v>
      </c>
      <c r="C302" s="39" t="s">
        <v>139</v>
      </c>
      <c r="D302" s="39" t="s">
        <v>136</v>
      </c>
      <c r="E302" s="65" t="s">
        <v>106</v>
      </c>
      <c r="F302" s="69"/>
      <c r="G302" s="69"/>
      <c r="H302" s="69"/>
      <c r="I302" s="69">
        <v>5.1000000000000004E-2</v>
      </c>
      <c r="J302" s="69"/>
      <c r="K302" s="67">
        <v>7.6999999999999999E-2</v>
      </c>
      <c r="L302" s="66">
        <v>9.0999999999999998E-2</v>
      </c>
    </row>
    <row r="303" spans="1:12" outlineLevel="1" x14ac:dyDescent="0.2">
      <c r="A303" s="76"/>
      <c r="B303" s="39" t="s">
        <v>131</v>
      </c>
      <c r="C303" s="39" t="s">
        <v>139</v>
      </c>
      <c r="D303" s="39" t="s">
        <v>136</v>
      </c>
      <c r="E303" s="65" t="s">
        <v>107</v>
      </c>
      <c r="F303" s="69"/>
      <c r="G303" s="69"/>
      <c r="H303" s="69"/>
      <c r="I303" s="69">
        <v>2.1999999999999999E-2</v>
      </c>
      <c r="J303" s="69"/>
      <c r="K303" s="67">
        <v>0.04</v>
      </c>
      <c r="L303" s="66">
        <v>6.2E-2</v>
      </c>
    </row>
    <row r="304" spans="1:12" outlineLevel="1" x14ac:dyDescent="0.2">
      <c r="A304" s="76"/>
      <c r="B304" s="39" t="s">
        <v>131</v>
      </c>
      <c r="C304" s="39" t="s">
        <v>139</v>
      </c>
      <c r="D304" s="39" t="s">
        <v>136</v>
      </c>
      <c r="E304" s="65" t="s">
        <v>108</v>
      </c>
      <c r="F304" s="69"/>
      <c r="G304" s="69"/>
      <c r="H304" s="69"/>
      <c r="I304" s="69">
        <v>7.5999999999999998E-2</v>
      </c>
      <c r="J304" s="69"/>
      <c r="K304" s="67">
        <v>0.11700000000000001</v>
      </c>
      <c r="L304" s="66">
        <v>0.13800000000000001</v>
      </c>
    </row>
    <row r="305" spans="1:12" outlineLevel="1" x14ac:dyDescent="0.2">
      <c r="A305" s="76"/>
      <c r="B305" s="39" t="s">
        <v>131</v>
      </c>
      <c r="C305" s="39" t="s">
        <v>139</v>
      </c>
      <c r="D305" s="39" t="s">
        <v>136</v>
      </c>
      <c r="E305" s="65" t="s">
        <v>109</v>
      </c>
      <c r="F305" s="66">
        <v>4.3999999999999997E-2</v>
      </c>
      <c r="G305" s="67">
        <v>5.2999999999999999E-2</v>
      </c>
      <c r="H305" s="68">
        <v>6.8000000000000005E-2</v>
      </c>
      <c r="I305" s="69">
        <v>7.5999999999999998E-2</v>
      </c>
      <c r="J305" s="68">
        <v>8.4000000000000005E-2</v>
      </c>
      <c r="K305" s="69"/>
      <c r="L305" s="69"/>
    </row>
    <row r="306" spans="1:12" outlineLevel="1" x14ac:dyDescent="0.2">
      <c r="A306" s="76"/>
      <c r="B306" s="39" t="s">
        <v>131</v>
      </c>
      <c r="C306" s="39" t="s">
        <v>139</v>
      </c>
      <c r="D306" s="39" t="s">
        <v>136</v>
      </c>
      <c r="E306" s="65" t="s">
        <v>110</v>
      </c>
      <c r="F306" s="69"/>
      <c r="G306" s="69"/>
      <c r="H306" s="69"/>
      <c r="I306" s="69">
        <v>1.4E-2</v>
      </c>
      <c r="J306" s="69"/>
      <c r="K306" s="67">
        <v>1.7000000000000001E-2</v>
      </c>
      <c r="L306" s="66">
        <v>1.9E-2</v>
      </c>
    </row>
    <row r="307" spans="1:12" outlineLevel="1" x14ac:dyDescent="0.2">
      <c r="A307" s="76"/>
      <c r="B307" s="39" t="s">
        <v>131</v>
      </c>
      <c r="C307" s="39" t="s">
        <v>139</v>
      </c>
      <c r="D307" s="39" t="s">
        <v>136</v>
      </c>
      <c r="E307" s="65" t="s">
        <v>34</v>
      </c>
      <c r="F307" s="69"/>
      <c r="G307" s="69"/>
      <c r="H307" s="68">
        <v>5.1000000000000004E-2</v>
      </c>
      <c r="I307" s="69">
        <v>5.6000000000000001E-2</v>
      </c>
      <c r="J307" s="68">
        <v>6.0999999999999999E-2</v>
      </c>
      <c r="K307" s="67">
        <v>0.08</v>
      </c>
      <c r="L307" s="66">
        <v>8.6000000000000007E-2</v>
      </c>
    </row>
    <row r="308" spans="1:12" outlineLevel="1" x14ac:dyDescent="0.2">
      <c r="A308" s="76"/>
      <c r="B308" s="39" t="s">
        <v>131</v>
      </c>
      <c r="C308" s="39" t="s">
        <v>139</v>
      </c>
      <c r="D308" s="39" t="s">
        <v>136</v>
      </c>
      <c r="E308" s="65" t="s">
        <v>4</v>
      </c>
      <c r="F308" s="71">
        <v>15.5</v>
      </c>
      <c r="G308" s="72">
        <v>16.100000000000001</v>
      </c>
      <c r="H308" s="73">
        <v>16.8</v>
      </c>
      <c r="I308" s="74">
        <v>17</v>
      </c>
      <c r="J308" s="73">
        <v>17.400000000000002</v>
      </c>
      <c r="K308" s="72">
        <v>18.3</v>
      </c>
      <c r="L308" s="71">
        <v>19.3</v>
      </c>
    </row>
    <row r="309" spans="1:12" outlineLevel="1" x14ac:dyDescent="0.2">
      <c r="A309" s="76"/>
      <c r="B309" s="39" t="s">
        <v>131</v>
      </c>
      <c r="C309" s="39" t="s">
        <v>139</v>
      </c>
      <c r="D309" s="39" t="s">
        <v>136</v>
      </c>
      <c r="E309" s="70" t="s">
        <v>14</v>
      </c>
      <c r="F309" s="71">
        <v>9</v>
      </c>
      <c r="G309" s="72">
        <v>9.3000000000000007</v>
      </c>
      <c r="H309" s="73">
        <v>10.100000000000001</v>
      </c>
      <c r="I309" s="74">
        <v>10.3</v>
      </c>
      <c r="J309" s="73">
        <v>10.4</v>
      </c>
      <c r="K309" s="72">
        <v>11</v>
      </c>
      <c r="L309" s="71">
        <v>11.5</v>
      </c>
    </row>
    <row r="310" spans="1:12" outlineLevel="1" x14ac:dyDescent="0.2">
      <c r="A310" s="76"/>
      <c r="B310" s="39" t="s">
        <v>131</v>
      </c>
      <c r="C310" s="39" t="s">
        <v>139</v>
      </c>
      <c r="D310" s="39" t="s">
        <v>136</v>
      </c>
      <c r="E310" s="65" t="s">
        <v>0</v>
      </c>
      <c r="F310" s="71">
        <v>22.6</v>
      </c>
      <c r="G310" s="72">
        <v>23</v>
      </c>
      <c r="H310" s="73">
        <v>23.8</v>
      </c>
      <c r="I310" s="74">
        <v>24.200000000000003</v>
      </c>
      <c r="J310" s="73">
        <v>24.400000000000002</v>
      </c>
      <c r="K310" s="72">
        <v>25.1</v>
      </c>
      <c r="L310" s="71">
        <v>25.900000000000002</v>
      </c>
    </row>
    <row r="311" spans="1:12" outlineLevel="1" x14ac:dyDescent="0.2">
      <c r="A311" s="76"/>
    </row>
    <row r="312" spans="1:12" x14ac:dyDescent="0.2">
      <c r="A312" s="76">
        <v>278</v>
      </c>
      <c r="B312" s="39" t="s">
        <v>130</v>
      </c>
      <c r="C312" s="39" t="s">
        <v>137</v>
      </c>
      <c r="D312" s="39" t="s">
        <v>140</v>
      </c>
      <c r="E312" s="153" t="s">
        <v>193</v>
      </c>
    </row>
    <row r="313" spans="1:12" outlineLevel="1" x14ac:dyDescent="0.2">
      <c r="A313" s="76"/>
      <c r="B313" s="39" t="s">
        <v>130</v>
      </c>
      <c r="C313" s="39" t="s">
        <v>137</v>
      </c>
      <c r="D313" s="39" t="s">
        <v>140</v>
      </c>
      <c r="E313" s="65" t="s">
        <v>338</v>
      </c>
      <c r="F313" s="66">
        <v>0.437</v>
      </c>
      <c r="G313" s="67">
        <v>0.47600000000000003</v>
      </c>
      <c r="H313" s="68">
        <v>0.51700000000000002</v>
      </c>
      <c r="I313" s="69">
        <v>0.53300000000000003</v>
      </c>
      <c r="J313" s="68">
        <v>0.54800000000000004</v>
      </c>
      <c r="K313" s="67">
        <v>0.58599999999999997</v>
      </c>
      <c r="L313" s="66">
        <v>0.623</v>
      </c>
    </row>
    <row r="314" spans="1:12" outlineLevel="1" x14ac:dyDescent="0.2">
      <c r="A314" s="76"/>
      <c r="B314" s="39" t="s">
        <v>130</v>
      </c>
      <c r="C314" s="39" t="s">
        <v>137</v>
      </c>
      <c r="D314" s="39" t="s">
        <v>140</v>
      </c>
      <c r="E314" s="65" t="s">
        <v>339</v>
      </c>
      <c r="F314" s="66">
        <v>0.45</v>
      </c>
      <c r="G314" s="67">
        <v>0.48799999999999999</v>
      </c>
      <c r="H314" s="68">
        <v>0.53</v>
      </c>
      <c r="I314" s="69">
        <v>0.54500000000000004</v>
      </c>
      <c r="J314" s="68">
        <v>0.56000000000000005</v>
      </c>
      <c r="K314" s="67">
        <v>0.59799999999999998</v>
      </c>
      <c r="L314" s="66">
        <v>0.63500000000000001</v>
      </c>
    </row>
    <row r="315" spans="1:12" outlineLevel="1" x14ac:dyDescent="0.2">
      <c r="A315" s="76"/>
      <c r="B315" s="39" t="s">
        <v>130</v>
      </c>
      <c r="C315" s="39" t="s">
        <v>137</v>
      </c>
      <c r="D315" s="39" t="s">
        <v>140</v>
      </c>
      <c r="E315" s="65" t="s">
        <v>351</v>
      </c>
      <c r="F315" s="66">
        <v>0.46200000000000002</v>
      </c>
      <c r="G315" s="67">
        <v>0.501</v>
      </c>
      <c r="H315" s="68">
        <v>0.54200000000000004</v>
      </c>
      <c r="I315" s="69">
        <v>0.55800000000000005</v>
      </c>
      <c r="J315" s="68">
        <v>0.57300000000000006</v>
      </c>
      <c r="K315" s="67">
        <v>0.61</v>
      </c>
      <c r="L315" s="66">
        <v>0.64600000000000002</v>
      </c>
    </row>
    <row r="316" spans="1:12" outlineLevel="1" x14ac:dyDescent="0.2">
      <c r="A316" s="76"/>
      <c r="B316" s="39" t="s">
        <v>130</v>
      </c>
      <c r="C316" s="39" t="s">
        <v>137</v>
      </c>
      <c r="D316" s="39" t="s">
        <v>140</v>
      </c>
      <c r="E316" s="65" t="s">
        <v>352</v>
      </c>
      <c r="F316" s="66">
        <v>0.46500000000000002</v>
      </c>
      <c r="G316" s="67">
        <v>0.504</v>
      </c>
      <c r="H316" s="68">
        <v>0.54500000000000004</v>
      </c>
      <c r="I316" s="69">
        <v>0.56100000000000005</v>
      </c>
      <c r="J316" s="68">
        <v>0.57600000000000007</v>
      </c>
      <c r="K316" s="67">
        <v>0.61299999999999999</v>
      </c>
      <c r="L316" s="66">
        <v>0.64900000000000002</v>
      </c>
    </row>
    <row r="317" spans="1:12" outlineLevel="1" x14ac:dyDescent="0.2">
      <c r="A317" s="76"/>
      <c r="B317" s="39" t="s">
        <v>130</v>
      </c>
      <c r="C317" s="39" t="s">
        <v>137</v>
      </c>
      <c r="D317" s="39" t="s">
        <v>140</v>
      </c>
      <c r="E317" s="65" t="s">
        <v>104</v>
      </c>
      <c r="F317" s="69"/>
      <c r="G317" s="69"/>
      <c r="H317" s="68">
        <v>1.3000000000000001E-2</v>
      </c>
      <c r="I317" s="69">
        <v>1.7000000000000001E-2</v>
      </c>
      <c r="J317" s="68">
        <v>2.1000000000000001E-2</v>
      </c>
      <c r="K317" s="67">
        <v>3.2000000000000001E-2</v>
      </c>
      <c r="L317" s="66">
        <v>4.3999999999999997E-2</v>
      </c>
    </row>
    <row r="318" spans="1:12" outlineLevel="1" x14ac:dyDescent="0.2">
      <c r="A318" s="76"/>
      <c r="B318" s="39" t="s">
        <v>130</v>
      </c>
      <c r="C318" s="39" t="s">
        <v>137</v>
      </c>
      <c r="D318" s="39" t="s">
        <v>140</v>
      </c>
      <c r="E318" s="65" t="s">
        <v>105</v>
      </c>
      <c r="F318" s="69"/>
      <c r="G318" s="69"/>
      <c r="H318" s="68">
        <v>6.8000000000000005E-2</v>
      </c>
      <c r="I318" s="69">
        <v>7.8E-2</v>
      </c>
      <c r="J318" s="68">
        <v>8.8999999999999996E-2</v>
      </c>
      <c r="K318" s="67">
        <v>0.114</v>
      </c>
      <c r="L318" s="66">
        <v>0.13200000000000001</v>
      </c>
    </row>
    <row r="319" spans="1:12" outlineLevel="1" x14ac:dyDescent="0.2">
      <c r="A319" s="76"/>
      <c r="B319" s="39" t="s">
        <v>130</v>
      </c>
      <c r="C319" s="39" t="s">
        <v>137</v>
      </c>
      <c r="D319" s="39" t="s">
        <v>140</v>
      </c>
      <c r="E319" s="65" t="s">
        <v>106</v>
      </c>
      <c r="F319" s="69"/>
      <c r="G319" s="69"/>
      <c r="H319" s="69"/>
      <c r="I319" s="69">
        <v>7.2000000000000008E-2</v>
      </c>
      <c r="J319" s="69"/>
      <c r="K319" s="67">
        <v>0.107</v>
      </c>
      <c r="L319" s="66">
        <v>0.13100000000000001</v>
      </c>
    </row>
    <row r="320" spans="1:12" outlineLevel="1" x14ac:dyDescent="0.2">
      <c r="A320" s="76"/>
      <c r="B320" s="39" t="s">
        <v>130</v>
      </c>
      <c r="C320" s="39" t="s">
        <v>137</v>
      </c>
      <c r="D320" s="39" t="s">
        <v>140</v>
      </c>
      <c r="E320" s="65" t="s">
        <v>107</v>
      </c>
      <c r="F320" s="69"/>
      <c r="G320" s="69"/>
      <c r="H320" s="69"/>
      <c r="I320" s="69">
        <v>1.4999999999999999E-2</v>
      </c>
      <c r="J320" s="69"/>
      <c r="K320" s="67">
        <v>3.3000000000000002E-2</v>
      </c>
      <c r="L320" s="66">
        <v>4.7E-2</v>
      </c>
    </row>
    <row r="321" spans="1:12" outlineLevel="1" x14ac:dyDescent="0.2">
      <c r="A321" s="76"/>
      <c r="B321" s="39" t="s">
        <v>130</v>
      </c>
      <c r="C321" s="39" t="s">
        <v>137</v>
      </c>
      <c r="D321" s="39" t="s">
        <v>140</v>
      </c>
      <c r="E321" s="65" t="s">
        <v>108</v>
      </c>
      <c r="F321" s="69"/>
      <c r="G321" s="69"/>
      <c r="H321" s="69"/>
      <c r="I321" s="69">
        <v>6.3E-2</v>
      </c>
      <c r="J321" s="69"/>
      <c r="K321" s="67">
        <v>9.4E-2</v>
      </c>
      <c r="L321" s="66">
        <v>0.11600000000000001</v>
      </c>
    </row>
    <row r="322" spans="1:12" outlineLevel="1" x14ac:dyDescent="0.2">
      <c r="A322" s="76"/>
      <c r="B322" s="39" t="s">
        <v>130</v>
      </c>
      <c r="C322" s="39" t="s">
        <v>137</v>
      </c>
      <c r="D322" s="39" t="s">
        <v>140</v>
      </c>
      <c r="E322" s="65" t="s">
        <v>109</v>
      </c>
      <c r="F322" s="66">
        <v>0.04</v>
      </c>
      <c r="G322" s="67">
        <v>4.8000000000000001E-2</v>
      </c>
      <c r="H322" s="68">
        <v>0.06</v>
      </c>
      <c r="I322" s="69">
        <v>6.3E-2</v>
      </c>
      <c r="J322" s="68">
        <v>6.9000000000000006E-2</v>
      </c>
      <c r="K322" s="69"/>
      <c r="L322" s="69"/>
    </row>
    <row r="323" spans="1:12" outlineLevel="1" x14ac:dyDescent="0.2">
      <c r="A323" s="76"/>
      <c r="B323" s="39" t="s">
        <v>130</v>
      </c>
      <c r="C323" s="39" t="s">
        <v>137</v>
      </c>
      <c r="D323" s="39" t="s">
        <v>140</v>
      </c>
      <c r="E323" s="65" t="s">
        <v>110</v>
      </c>
      <c r="F323" s="69"/>
      <c r="G323" s="69"/>
      <c r="H323" s="69"/>
      <c r="I323" s="69">
        <v>1.8000000000000002E-2</v>
      </c>
      <c r="J323" s="69"/>
      <c r="K323" s="67">
        <v>2.6000000000000002E-2</v>
      </c>
      <c r="L323" s="66">
        <v>3.1E-2</v>
      </c>
    </row>
    <row r="324" spans="1:12" outlineLevel="1" x14ac:dyDescent="0.2">
      <c r="A324" s="76"/>
      <c r="B324" s="39" t="s">
        <v>130</v>
      </c>
      <c r="C324" s="39" t="s">
        <v>137</v>
      </c>
      <c r="D324" s="39" t="s">
        <v>140</v>
      </c>
      <c r="E324" s="65" t="s">
        <v>34</v>
      </c>
      <c r="F324" s="69"/>
      <c r="G324" s="69"/>
      <c r="H324" s="68">
        <v>7.2000000000000008E-2</v>
      </c>
      <c r="I324" s="69">
        <v>7.6999999999999999E-2</v>
      </c>
      <c r="J324" s="68">
        <v>8.7000000000000008E-2</v>
      </c>
      <c r="K324" s="67">
        <v>0.11</v>
      </c>
      <c r="L324" s="66">
        <v>0.15</v>
      </c>
    </row>
    <row r="325" spans="1:12" outlineLevel="1" x14ac:dyDescent="0.2">
      <c r="A325" s="76"/>
      <c r="B325" s="39" t="s">
        <v>130</v>
      </c>
      <c r="C325" s="39" t="s">
        <v>137</v>
      </c>
      <c r="D325" s="39" t="s">
        <v>140</v>
      </c>
      <c r="E325" s="65" t="s">
        <v>4</v>
      </c>
      <c r="F325" s="71">
        <v>12.600000000000001</v>
      </c>
      <c r="G325" s="72">
        <v>13.600000000000001</v>
      </c>
      <c r="H325" s="73">
        <v>15.100000000000001</v>
      </c>
      <c r="I325" s="74">
        <v>15.600000000000001</v>
      </c>
      <c r="J325" s="73">
        <v>16.100000000000001</v>
      </c>
      <c r="K325" s="72">
        <v>17.400000000000002</v>
      </c>
      <c r="L325" s="71">
        <v>18.7</v>
      </c>
    </row>
    <row r="326" spans="1:12" outlineLevel="1" x14ac:dyDescent="0.2">
      <c r="A326" s="76"/>
      <c r="B326" s="39" t="s">
        <v>130</v>
      </c>
      <c r="C326" s="39" t="s">
        <v>137</v>
      </c>
      <c r="D326" s="39" t="s">
        <v>140</v>
      </c>
      <c r="E326" s="65" t="s">
        <v>14</v>
      </c>
      <c r="F326" s="71">
        <v>7.4</v>
      </c>
      <c r="G326" s="72">
        <v>8.3000000000000007</v>
      </c>
      <c r="H326" s="73">
        <v>9.2000000000000011</v>
      </c>
      <c r="I326" s="74">
        <v>9.4</v>
      </c>
      <c r="J326" s="73">
        <v>9.8000000000000007</v>
      </c>
      <c r="K326" s="72">
        <v>10.8</v>
      </c>
      <c r="L326" s="71">
        <v>11.700000000000001</v>
      </c>
    </row>
    <row r="327" spans="1:12" outlineLevel="1" x14ac:dyDescent="0.2">
      <c r="A327" s="76"/>
      <c r="B327" s="39" t="s">
        <v>130</v>
      </c>
      <c r="C327" s="39" t="s">
        <v>137</v>
      </c>
      <c r="D327" s="39" t="s">
        <v>140</v>
      </c>
      <c r="E327" s="65" t="s">
        <v>0</v>
      </c>
      <c r="F327" s="71">
        <v>15.9</v>
      </c>
      <c r="G327" s="72">
        <v>18</v>
      </c>
      <c r="H327" s="73">
        <v>19.900000000000002</v>
      </c>
      <c r="I327" s="74">
        <v>20.700000000000003</v>
      </c>
      <c r="J327" s="73">
        <v>21.6</v>
      </c>
      <c r="K327" s="72">
        <v>23.5</v>
      </c>
      <c r="L327" s="71">
        <v>24.8</v>
      </c>
    </row>
    <row r="328" spans="1:12" outlineLevel="1" x14ac:dyDescent="0.2">
      <c r="A328" s="76"/>
    </row>
    <row r="329" spans="1:12" x14ac:dyDescent="0.2">
      <c r="A329" s="76">
        <v>522</v>
      </c>
      <c r="B329" s="39" t="s">
        <v>130</v>
      </c>
      <c r="C329" s="39" t="s">
        <v>138</v>
      </c>
      <c r="D329" s="39" t="s">
        <v>140</v>
      </c>
      <c r="E329" s="153" t="s">
        <v>194</v>
      </c>
    </row>
    <row r="330" spans="1:12" outlineLevel="1" x14ac:dyDescent="0.2">
      <c r="A330" s="76"/>
      <c r="B330" s="39" t="s">
        <v>130</v>
      </c>
      <c r="C330" s="39" t="s">
        <v>138</v>
      </c>
      <c r="D330" s="39" t="s">
        <v>140</v>
      </c>
      <c r="E330" s="65" t="s">
        <v>338</v>
      </c>
      <c r="F330" s="66">
        <v>0.48399999999999999</v>
      </c>
      <c r="G330" s="67">
        <v>0.51400000000000001</v>
      </c>
      <c r="H330" s="68">
        <v>0.54300000000000004</v>
      </c>
      <c r="I330" s="69">
        <v>0.55400000000000005</v>
      </c>
      <c r="J330" s="68">
        <v>0.56700000000000006</v>
      </c>
      <c r="K330" s="67">
        <v>0.59499999999999997</v>
      </c>
      <c r="L330" s="66">
        <v>0.623</v>
      </c>
    </row>
    <row r="331" spans="1:12" outlineLevel="1" x14ac:dyDescent="0.2">
      <c r="A331" s="76"/>
      <c r="B331" s="39" t="s">
        <v>130</v>
      </c>
      <c r="C331" s="39" t="s">
        <v>138</v>
      </c>
      <c r="D331" s="39" t="s">
        <v>140</v>
      </c>
      <c r="E331" s="65" t="s">
        <v>339</v>
      </c>
      <c r="F331" s="66">
        <v>0.496</v>
      </c>
      <c r="G331" s="67">
        <v>0.52600000000000002</v>
      </c>
      <c r="H331" s="68">
        <v>0.55500000000000005</v>
      </c>
      <c r="I331" s="69">
        <v>0.56600000000000006</v>
      </c>
      <c r="J331" s="68">
        <v>0.57899999999999996</v>
      </c>
      <c r="K331" s="67">
        <v>0.60699999999999998</v>
      </c>
      <c r="L331" s="66">
        <v>0.63400000000000001</v>
      </c>
    </row>
    <row r="332" spans="1:12" outlineLevel="1" x14ac:dyDescent="0.2">
      <c r="A332" s="76"/>
      <c r="B332" s="39" t="s">
        <v>130</v>
      </c>
      <c r="C332" s="39" t="s">
        <v>138</v>
      </c>
      <c r="D332" s="39" t="s">
        <v>140</v>
      </c>
      <c r="E332" s="65" t="s">
        <v>351</v>
      </c>
      <c r="F332" s="66">
        <v>0.50900000000000001</v>
      </c>
      <c r="G332" s="67">
        <v>0.53900000000000003</v>
      </c>
      <c r="H332" s="68">
        <v>0.56800000000000006</v>
      </c>
      <c r="I332" s="69">
        <v>0.57799999999999996</v>
      </c>
      <c r="J332" s="68">
        <v>0.59099999999999997</v>
      </c>
      <c r="K332" s="67">
        <v>0.61899999999999999</v>
      </c>
      <c r="L332" s="66">
        <v>0.64600000000000002</v>
      </c>
    </row>
    <row r="333" spans="1:12" outlineLevel="1" x14ac:dyDescent="0.2">
      <c r="A333" s="76"/>
      <c r="B333" s="39" t="s">
        <v>130</v>
      </c>
      <c r="C333" s="39" t="s">
        <v>138</v>
      </c>
      <c r="D333" s="39" t="s">
        <v>140</v>
      </c>
      <c r="E333" s="65" t="s">
        <v>352</v>
      </c>
      <c r="F333" s="66">
        <v>0.51200000000000001</v>
      </c>
      <c r="G333" s="67">
        <v>0.54200000000000004</v>
      </c>
      <c r="H333" s="68">
        <v>0.57100000000000006</v>
      </c>
      <c r="I333" s="69">
        <v>0.58099999999999996</v>
      </c>
      <c r="J333" s="68">
        <v>0.59399999999999997</v>
      </c>
      <c r="K333" s="67">
        <v>0.622</v>
      </c>
      <c r="L333" s="66">
        <v>0.64900000000000002</v>
      </c>
    </row>
    <row r="334" spans="1:12" outlineLevel="1" x14ac:dyDescent="0.2">
      <c r="A334" s="76"/>
      <c r="B334" s="39" t="s">
        <v>130</v>
      </c>
      <c r="C334" s="39" t="s">
        <v>138</v>
      </c>
      <c r="D334" s="39" t="s">
        <v>140</v>
      </c>
      <c r="E334" s="65" t="s">
        <v>104</v>
      </c>
      <c r="F334" s="69"/>
      <c r="G334" s="69"/>
      <c r="H334" s="68">
        <v>1.3000000000000001E-2</v>
      </c>
      <c r="I334" s="69">
        <v>1.6E-2</v>
      </c>
      <c r="J334" s="68">
        <v>0.02</v>
      </c>
      <c r="K334" s="67">
        <v>2.9000000000000001E-2</v>
      </c>
      <c r="L334" s="66">
        <v>0.04</v>
      </c>
    </row>
    <row r="335" spans="1:12" outlineLevel="1" x14ac:dyDescent="0.2">
      <c r="A335" s="76"/>
      <c r="B335" s="39" t="s">
        <v>130</v>
      </c>
      <c r="C335" s="39" t="s">
        <v>138</v>
      </c>
      <c r="D335" s="39" t="s">
        <v>140</v>
      </c>
      <c r="E335" s="65" t="s">
        <v>105</v>
      </c>
      <c r="F335" s="69"/>
      <c r="G335" s="69"/>
      <c r="H335" s="68">
        <v>0.08</v>
      </c>
      <c r="I335" s="69">
        <v>8.7000000000000008E-2</v>
      </c>
      <c r="J335" s="68">
        <v>9.7000000000000003E-2</v>
      </c>
      <c r="K335" s="67">
        <v>0.11700000000000001</v>
      </c>
      <c r="L335" s="66">
        <v>0.13200000000000001</v>
      </c>
    </row>
    <row r="336" spans="1:12" outlineLevel="1" x14ac:dyDescent="0.2">
      <c r="A336" s="76"/>
      <c r="B336" s="39" t="s">
        <v>130</v>
      </c>
      <c r="C336" s="39" t="s">
        <v>138</v>
      </c>
      <c r="D336" s="39" t="s">
        <v>140</v>
      </c>
      <c r="E336" s="65" t="s">
        <v>106</v>
      </c>
      <c r="F336" s="69"/>
      <c r="G336" s="69"/>
      <c r="H336" s="69"/>
      <c r="I336" s="69">
        <v>6.5000000000000002E-2</v>
      </c>
      <c r="J336" s="69"/>
      <c r="K336" s="67">
        <v>9.4E-2</v>
      </c>
      <c r="L336" s="66">
        <v>0.113</v>
      </c>
    </row>
    <row r="337" spans="1:12" outlineLevel="1" x14ac:dyDescent="0.2">
      <c r="A337" s="76"/>
      <c r="B337" s="39" t="s">
        <v>130</v>
      </c>
      <c r="C337" s="39" t="s">
        <v>138</v>
      </c>
      <c r="D337" s="39" t="s">
        <v>140</v>
      </c>
      <c r="E337" s="65" t="s">
        <v>107</v>
      </c>
      <c r="F337" s="69"/>
      <c r="G337" s="69"/>
      <c r="H337" s="69"/>
      <c r="I337" s="69">
        <v>1.7000000000000001E-2</v>
      </c>
      <c r="J337" s="69"/>
      <c r="K337" s="67">
        <v>3.6999999999999998E-2</v>
      </c>
      <c r="L337" s="66">
        <v>5.8000000000000003E-2</v>
      </c>
    </row>
    <row r="338" spans="1:12" outlineLevel="1" x14ac:dyDescent="0.2">
      <c r="A338" s="76"/>
      <c r="B338" s="39" t="s">
        <v>130</v>
      </c>
      <c r="C338" s="39" t="s">
        <v>138</v>
      </c>
      <c r="D338" s="39" t="s">
        <v>140</v>
      </c>
      <c r="E338" s="65" t="s">
        <v>108</v>
      </c>
      <c r="F338" s="69"/>
      <c r="G338" s="69"/>
      <c r="H338" s="69"/>
      <c r="I338" s="69">
        <v>5.9000000000000004E-2</v>
      </c>
      <c r="J338" s="69"/>
      <c r="K338" s="67">
        <v>9.1999999999999998E-2</v>
      </c>
      <c r="L338" s="66">
        <v>0.11</v>
      </c>
    </row>
    <row r="339" spans="1:12" outlineLevel="1" x14ac:dyDescent="0.2">
      <c r="A339" s="76"/>
      <c r="B339" s="39" t="s">
        <v>130</v>
      </c>
      <c r="C339" s="39" t="s">
        <v>138</v>
      </c>
      <c r="D339" s="39" t="s">
        <v>140</v>
      </c>
      <c r="E339" s="65" t="s">
        <v>109</v>
      </c>
      <c r="F339" s="66">
        <v>4.3999999999999997E-2</v>
      </c>
      <c r="G339" s="67">
        <v>5.1000000000000004E-2</v>
      </c>
      <c r="H339" s="68">
        <v>6.0999999999999999E-2</v>
      </c>
      <c r="I339" s="69">
        <v>6.7000000000000004E-2</v>
      </c>
      <c r="J339" s="68">
        <v>7.2000000000000008E-2</v>
      </c>
      <c r="K339" s="69"/>
      <c r="L339" s="69"/>
    </row>
    <row r="340" spans="1:12" outlineLevel="1" x14ac:dyDescent="0.2">
      <c r="A340" s="76"/>
      <c r="B340" s="39" t="s">
        <v>130</v>
      </c>
      <c r="C340" s="39" t="s">
        <v>138</v>
      </c>
      <c r="D340" s="39" t="s">
        <v>140</v>
      </c>
      <c r="E340" s="70" t="s">
        <v>110</v>
      </c>
      <c r="F340" s="69"/>
      <c r="G340" s="69"/>
      <c r="H340" s="69"/>
      <c r="I340" s="69">
        <v>1.6E-2</v>
      </c>
      <c r="J340" s="69"/>
      <c r="K340" s="67">
        <v>2.1000000000000001E-2</v>
      </c>
      <c r="L340" s="66">
        <v>2.3E-2</v>
      </c>
    </row>
    <row r="341" spans="1:12" outlineLevel="1" x14ac:dyDescent="0.2">
      <c r="A341" s="76"/>
      <c r="B341" s="39" t="s">
        <v>130</v>
      </c>
      <c r="C341" s="39" t="s">
        <v>138</v>
      </c>
      <c r="D341" s="39" t="s">
        <v>140</v>
      </c>
      <c r="E341" s="65" t="s">
        <v>34</v>
      </c>
      <c r="F341" s="69"/>
      <c r="G341" s="69"/>
      <c r="H341" s="68">
        <v>5.8000000000000003E-2</v>
      </c>
      <c r="I341" s="69">
        <v>6.3E-2</v>
      </c>
      <c r="J341" s="68">
        <v>6.8000000000000005E-2</v>
      </c>
      <c r="K341" s="67">
        <v>8.3000000000000004E-2</v>
      </c>
      <c r="L341" s="66">
        <v>0.1</v>
      </c>
    </row>
    <row r="342" spans="1:12" outlineLevel="1" x14ac:dyDescent="0.2">
      <c r="A342" s="76"/>
      <c r="B342" s="39" t="s">
        <v>130</v>
      </c>
      <c r="C342" s="39" t="s">
        <v>138</v>
      </c>
      <c r="D342" s="39" t="s">
        <v>140</v>
      </c>
      <c r="E342" s="65" t="s">
        <v>4</v>
      </c>
      <c r="F342" s="71">
        <v>14.4</v>
      </c>
      <c r="G342" s="72">
        <v>15.100000000000001</v>
      </c>
      <c r="H342" s="73">
        <v>15.9</v>
      </c>
      <c r="I342" s="74">
        <v>16.2</v>
      </c>
      <c r="J342" s="73">
        <v>16.600000000000001</v>
      </c>
      <c r="K342" s="72">
        <v>17.7</v>
      </c>
      <c r="L342" s="71">
        <v>18.5</v>
      </c>
    </row>
    <row r="343" spans="1:12" outlineLevel="1" x14ac:dyDescent="0.2">
      <c r="A343" s="76"/>
      <c r="B343" s="39" t="s">
        <v>130</v>
      </c>
      <c r="C343" s="39" t="s">
        <v>138</v>
      </c>
      <c r="D343" s="39" t="s">
        <v>140</v>
      </c>
      <c r="E343" s="70" t="s">
        <v>14</v>
      </c>
      <c r="F343" s="71">
        <v>8.5</v>
      </c>
      <c r="G343" s="72">
        <v>8.9</v>
      </c>
      <c r="H343" s="73">
        <v>9.5</v>
      </c>
      <c r="I343" s="74">
        <v>9.8000000000000007</v>
      </c>
      <c r="J343" s="73">
        <v>10.200000000000001</v>
      </c>
      <c r="K343" s="72">
        <v>10.8</v>
      </c>
      <c r="L343" s="71">
        <v>11.4</v>
      </c>
    </row>
    <row r="344" spans="1:12" outlineLevel="1" x14ac:dyDescent="0.2">
      <c r="A344" s="76"/>
      <c r="B344" s="39" t="s">
        <v>130</v>
      </c>
      <c r="C344" s="39" t="s">
        <v>138</v>
      </c>
      <c r="D344" s="39" t="s">
        <v>140</v>
      </c>
      <c r="E344" s="65" t="s">
        <v>0</v>
      </c>
      <c r="F344" s="71">
        <v>19.100000000000001</v>
      </c>
      <c r="G344" s="72">
        <v>19.600000000000001</v>
      </c>
      <c r="H344" s="73">
        <v>20.700000000000003</v>
      </c>
      <c r="I344" s="74">
        <v>21.1</v>
      </c>
      <c r="J344" s="73">
        <v>21.5</v>
      </c>
      <c r="K344" s="72">
        <v>22.5</v>
      </c>
      <c r="L344" s="71">
        <v>23.5</v>
      </c>
    </row>
    <row r="345" spans="1:12" outlineLevel="1" x14ac:dyDescent="0.2">
      <c r="A345" s="76"/>
    </row>
    <row r="346" spans="1:12" x14ac:dyDescent="0.2">
      <c r="A346" s="76">
        <v>276</v>
      </c>
      <c r="B346" s="39" t="s">
        <v>130</v>
      </c>
      <c r="C346" s="39" t="s">
        <v>139</v>
      </c>
      <c r="D346" s="39" t="s">
        <v>140</v>
      </c>
      <c r="E346" s="153" t="s">
        <v>195</v>
      </c>
    </row>
    <row r="347" spans="1:12" outlineLevel="1" x14ac:dyDescent="0.2">
      <c r="A347" s="76"/>
      <c r="B347" s="39" t="s">
        <v>130</v>
      </c>
      <c r="C347" s="39" t="s">
        <v>139</v>
      </c>
      <c r="D347" s="39" t="s">
        <v>140</v>
      </c>
      <c r="E347" s="65" t="s">
        <v>338</v>
      </c>
      <c r="F347" s="66">
        <v>0.499</v>
      </c>
      <c r="G347" s="67">
        <v>0.52100000000000002</v>
      </c>
      <c r="H347" s="68">
        <v>0.55400000000000005</v>
      </c>
      <c r="I347" s="69">
        <v>0.56500000000000006</v>
      </c>
      <c r="J347" s="68">
        <v>0.57200000000000006</v>
      </c>
      <c r="K347" s="67">
        <v>0.59399999999999997</v>
      </c>
      <c r="L347" s="66">
        <v>0.61499999999999999</v>
      </c>
    </row>
    <row r="348" spans="1:12" outlineLevel="1" x14ac:dyDescent="0.2">
      <c r="A348" s="76"/>
      <c r="B348" s="39" t="s">
        <v>130</v>
      </c>
      <c r="C348" s="39" t="s">
        <v>139</v>
      </c>
      <c r="D348" s="39" t="s">
        <v>140</v>
      </c>
      <c r="E348" s="65" t="s">
        <v>339</v>
      </c>
      <c r="F348" s="66">
        <v>0.51200000000000001</v>
      </c>
      <c r="G348" s="67">
        <v>0.53400000000000003</v>
      </c>
      <c r="H348" s="68">
        <v>0.56600000000000006</v>
      </c>
      <c r="I348" s="69">
        <v>0.57699999999999996</v>
      </c>
      <c r="J348" s="68">
        <v>0.58499999999999996</v>
      </c>
      <c r="K348" s="67">
        <v>0.60499999999999998</v>
      </c>
      <c r="L348" s="66">
        <v>0.626</v>
      </c>
    </row>
    <row r="349" spans="1:12" outlineLevel="1" x14ac:dyDescent="0.2">
      <c r="A349" s="76"/>
      <c r="B349" s="39" t="s">
        <v>130</v>
      </c>
      <c r="C349" s="39" t="s">
        <v>139</v>
      </c>
      <c r="D349" s="39" t="s">
        <v>140</v>
      </c>
      <c r="E349" s="65" t="s">
        <v>351</v>
      </c>
      <c r="F349" s="66">
        <v>0.52400000000000002</v>
      </c>
      <c r="G349" s="67">
        <v>0.54600000000000004</v>
      </c>
      <c r="H349" s="68">
        <v>0.57899999999999996</v>
      </c>
      <c r="I349" s="69">
        <v>0.58899999999999997</v>
      </c>
      <c r="J349" s="68">
        <v>0.59699999999999998</v>
      </c>
      <c r="K349" s="67">
        <v>0.61699999999999999</v>
      </c>
      <c r="L349" s="66">
        <v>0.63800000000000001</v>
      </c>
    </row>
    <row r="350" spans="1:12" outlineLevel="1" x14ac:dyDescent="0.2">
      <c r="A350" s="76"/>
      <c r="B350" s="39" t="s">
        <v>130</v>
      </c>
      <c r="C350" s="39" t="s">
        <v>139</v>
      </c>
      <c r="D350" s="39" t="s">
        <v>140</v>
      </c>
      <c r="E350" s="65" t="s">
        <v>352</v>
      </c>
      <c r="F350" s="66">
        <v>0.52700000000000002</v>
      </c>
      <c r="G350" s="67">
        <v>0.54900000000000004</v>
      </c>
      <c r="H350" s="68">
        <v>0.58199999999999996</v>
      </c>
      <c r="I350" s="69">
        <v>0.59199999999999997</v>
      </c>
      <c r="J350" s="68">
        <v>0.6</v>
      </c>
      <c r="K350" s="67">
        <v>0.62</v>
      </c>
      <c r="L350" s="66">
        <v>0.64100000000000001</v>
      </c>
    </row>
    <row r="351" spans="1:12" outlineLevel="1" x14ac:dyDescent="0.2">
      <c r="A351" s="76"/>
      <c r="B351" s="39" t="s">
        <v>130</v>
      </c>
      <c r="C351" s="39" t="s">
        <v>139</v>
      </c>
      <c r="D351" s="39" t="s">
        <v>140</v>
      </c>
      <c r="E351" s="65" t="s">
        <v>104</v>
      </c>
      <c r="F351" s="69"/>
      <c r="G351" s="69"/>
      <c r="H351" s="68">
        <v>1.0999999999999999E-2</v>
      </c>
      <c r="I351" s="69">
        <v>1.3000000000000001E-2</v>
      </c>
      <c r="J351" s="68">
        <v>1.6E-2</v>
      </c>
      <c r="K351" s="67">
        <v>2.5000000000000001E-2</v>
      </c>
      <c r="L351" s="66">
        <v>3.5000000000000003E-2</v>
      </c>
    </row>
    <row r="352" spans="1:12" outlineLevel="1" x14ac:dyDescent="0.2">
      <c r="A352" s="76"/>
      <c r="B352" s="39" t="s">
        <v>130</v>
      </c>
      <c r="C352" s="39" t="s">
        <v>139</v>
      </c>
      <c r="D352" s="39" t="s">
        <v>140</v>
      </c>
      <c r="E352" s="65" t="s">
        <v>105</v>
      </c>
      <c r="F352" s="69"/>
      <c r="G352" s="69"/>
      <c r="H352" s="68">
        <v>8.5000000000000006E-2</v>
      </c>
      <c r="I352" s="69">
        <v>9.1999999999999998E-2</v>
      </c>
      <c r="J352" s="68">
        <v>9.9000000000000005E-2</v>
      </c>
      <c r="K352" s="67">
        <v>0.114</v>
      </c>
      <c r="L352" s="66">
        <v>0.13200000000000001</v>
      </c>
    </row>
    <row r="353" spans="1:12" outlineLevel="1" x14ac:dyDescent="0.2">
      <c r="A353" s="76"/>
      <c r="B353" s="39" t="s">
        <v>130</v>
      </c>
      <c r="C353" s="39" t="s">
        <v>139</v>
      </c>
      <c r="D353" s="39" t="s">
        <v>140</v>
      </c>
      <c r="E353" s="65" t="s">
        <v>106</v>
      </c>
      <c r="F353" s="69"/>
      <c r="G353" s="69"/>
      <c r="H353" s="69"/>
      <c r="I353" s="69">
        <v>6.2E-2</v>
      </c>
      <c r="J353" s="69"/>
      <c r="K353" s="67">
        <v>8.1000000000000003E-2</v>
      </c>
      <c r="L353" s="66">
        <v>0.10300000000000001</v>
      </c>
    </row>
    <row r="354" spans="1:12" outlineLevel="1" x14ac:dyDescent="0.2">
      <c r="A354" s="76"/>
      <c r="B354" s="39" t="s">
        <v>130</v>
      </c>
      <c r="C354" s="39" t="s">
        <v>139</v>
      </c>
      <c r="D354" s="39" t="s">
        <v>140</v>
      </c>
      <c r="E354" s="65" t="s">
        <v>107</v>
      </c>
      <c r="F354" s="69"/>
      <c r="G354" s="69"/>
      <c r="H354" s="69"/>
      <c r="I354" s="69">
        <v>1.4E-2</v>
      </c>
      <c r="J354" s="69"/>
      <c r="K354" s="67">
        <v>3.1E-2</v>
      </c>
      <c r="L354" s="66">
        <v>4.9000000000000002E-2</v>
      </c>
    </row>
    <row r="355" spans="1:12" outlineLevel="1" x14ac:dyDescent="0.2">
      <c r="A355" s="76"/>
      <c r="B355" s="39" t="s">
        <v>130</v>
      </c>
      <c r="C355" s="39" t="s">
        <v>139</v>
      </c>
      <c r="D355" s="39" t="s">
        <v>140</v>
      </c>
      <c r="E355" s="65" t="s">
        <v>108</v>
      </c>
      <c r="F355" s="69"/>
      <c r="G355" s="69"/>
      <c r="H355" s="69"/>
      <c r="I355" s="69">
        <v>5.8000000000000003E-2</v>
      </c>
      <c r="J355" s="69"/>
      <c r="K355" s="67">
        <v>9.8000000000000004E-2</v>
      </c>
      <c r="L355" s="66">
        <v>0.13200000000000001</v>
      </c>
    </row>
    <row r="356" spans="1:12" outlineLevel="1" x14ac:dyDescent="0.2">
      <c r="A356" s="76"/>
      <c r="B356" s="39" t="s">
        <v>130</v>
      </c>
      <c r="C356" s="39" t="s">
        <v>139</v>
      </c>
      <c r="D356" s="39" t="s">
        <v>140</v>
      </c>
      <c r="E356" s="65" t="s">
        <v>109</v>
      </c>
      <c r="F356" s="66">
        <v>4.4999999999999998E-2</v>
      </c>
      <c r="G356" s="67">
        <v>5.2999999999999999E-2</v>
      </c>
      <c r="H356" s="68">
        <v>6.4000000000000001E-2</v>
      </c>
      <c r="I356" s="69">
        <v>7.0000000000000007E-2</v>
      </c>
      <c r="J356" s="68">
        <v>7.6999999999999999E-2</v>
      </c>
      <c r="K356" s="69"/>
      <c r="L356" s="69"/>
    </row>
    <row r="357" spans="1:12" outlineLevel="1" x14ac:dyDescent="0.2">
      <c r="A357" s="76"/>
      <c r="B357" s="39" t="s">
        <v>130</v>
      </c>
      <c r="C357" s="39" t="s">
        <v>139</v>
      </c>
      <c r="D357" s="39" t="s">
        <v>140</v>
      </c>
      <c r="E357" s="70" t="s">
        <v>110</v>
      </c>
      <c r="F357" s="69"/>
      <c r="G357" s="69"/>
      <c r="H357" s="69"/>
      <c r="I357" s="69">
        <v>1.4999999999999999E-2</v>
      </c>
      <c r="J357" s="69"/>
      <c r="K357" s="67">
        <v>1.8000000000000002E-2</v>
      </c>
      <c r="L357" s="66">
        <v>2.1000000000000001E-2</v>
      </c>
    </row>
    <row r="358" spans="1:12" outlineLevel="1" x14ac:dyDescent="0.2">
      <c r="A358" s="76"/>
      <c r="B358" s="39" t="s">
        <v>130</v>
      </c>
      <c r="C358" s="39" t="s">
        <v>139</v>
      </c>
      <c r="D358" s="39" t="s">
        <v>140</v>
      </c>
      <c r="E358" s="65" t="s">
        <v>34</v>
      </c>
      <c r="F358" s="69"/>
      <c r="G358" s="69"/>
      <c r="H358" s="68">
        <v>5.1000000000000004E-2</v>
      </c>
      <c r="I358" s="69">
        <v>5.5E-2</v>
      </c>
      <c r="J358" s="68">
        <v>5.9000000000000004E-2</v>
      </c>
      <c r="K358" s="67">
        <v>7.2000000000000008E-2</v>
      </c>
      <c r="L358" s="66">
        <v>8.5000000000000006E-2</v>
      </c>
    </row>
    <row r="359" spans="1:12" outlineLevel="1" x14ac:dyDescent="0.2">
      <c r="A359" s="76"/>
      <c r="B359" s="39" t="s">
        <v>130</v>
      </c>
      <c r="C359" s="39" t="s">
        <v>139</v>
      </c>
      <c r="D359" s="39" t="s">
        <v>140</v>
      </c>
      <c r="E359" s="65" t="s">
        <v>4</v>
      </c>
      <c r="F359" s="71">
        <v>14.5</v>
      </c>
      <c r="G359" s="72">
        <v>15.200000000000001</v>
      </c>
      <c r="H359" s="73">
        <v>16.2</v>
      </c>
      <c r="I359" s="74">
        <v>16.5</v>
      </c>
      <c r="J359" s="73">
        <v>16.900000000000002</v>
      </c>
      <c r="K359" s="72">
        <v>17.8</v>
      </c>
      <c r="L359" s="71">
        <v>18.7</v>
      </c>
    </row>
    <row r="360" spans="1:12" outlineLevel="1" x14ac:dyDescent="0.2">
      <c r="A360" s="76"/>
      <c r="B360" s="39" t="s">
        <v>130</v>
      </c>
      <c r="C360" s="39" t="s">
        <v>139</v>
      </c>
      <c r="D360" s="39" t="s">
        <v>140</v>
      </c>
      <c r="E360" s="65" t="s">
        <v>14</v>
      </c>
      <c r="F360" s="71">
        <v>8.6</v>
      </c>
      <c r="G360" s="72">
        <v>9.2000000000000011</v>
      </c>
      <c r="H360" s="73">
        <v>9.7000000000000011</v>
      </c>
      <c r="I360" s="74">
        <v>10</v>
      </c>
      <c r="J360" s="73">
        <v>10.4</v>
      </c>
      <c r="K360" s="72">
        <v>11.200000000000001</v>
      </c>
      <c r="L360" s="71">
        <v>11.700000000000001</v>
      </c>
    </row>
    <row r="361" spans="1:12" outlineLevel="1" x14ac:dyDescent="0.2">
      <c r="A361" s="76"/>
      <c r="B361" s="39" t="s">
        <v>130</v>
      </c>
      <c r="C361" s="39" t="s">
        <v>139</v>
      </c>
      <c r="D361" s="39" t="s">
        <v>140</v>
      </c>
      <c r="E361" s="65" t="s">
        <v>0</v>
      </c>
      <c r="F361" s="71">
        <v>19.400000000000002</v>
      </c>
      <c r="G361" s="72">
        <v>20.100000000000001</v>
      </c>
      <c r="H361" s="73">
        <v>20.900000000000002</v>
      </c>
      <c r="I361" s="74">
        <v>21.3</v>
      </c>
      <c r="J361" s="73">
        <v>21.6</v>
      </c>
      <c r="K361" s="72">
        <v>22.5</v>
      </c>
      <c r="L361" s="71">
        <v>23.3</v>
      </c>
    </row>
    <row r="362" spans="1:12" outlineLevel="1" x14ac:dyDescent="0.2">
      <c r="A362" s="76"/>
    </row>
    <row r="363" spans="1:12" x14ac:dyDescent="0.2">
      <c r="A363" s="76">
        <v>113</v>
      </c>
      <c r="B363" s="39" t="s">
        <v>131</v>
      </c>
      <c r="C363" s="39" t="s">
        <v>137</v>
      </c>
      <c r="D363" s="39" t="s">
        <v>140</v>
      </c>
      <c r="E363" s="153" t="s">
        <v>196</v>
      </c>
    </row>
    <row r="364" spans="1:12" outlineLevel="1" x14ac:dyDescent="0.2">
      <c r="A364" s="76"/>
      <c r="B364" s="39" t="s">
        <v>131</v>
      </c>
      <c r="C364" s="39" t="s">
        <v>137</v>
      </c>
      <c r="D364" s="39" t="s">
        <v>140</v>
      </c>
      <c r="E364" s="65" t="s">
        <v>338</v>
      </c>
      <c r="F364" s="66">
        <v>0.441</v>
      </c>
      <c r="G364" s="67">
        <v>0.47000000000000003</v>
      </c>
      <c r="H364" s="68">
        <v>0.51</v>
      </c>
      <c r="I364" s="69">
        <v>0.52</v>
      </c>
      <c r="J364" s="68">
        <v>0.53400000000000003</v>
      </c>
      <c r="K364" s="67">
        <v>0.56300000000000006</v>
      </c>
      <c r="L364" s="66">
        <v>0.59</v>
      </c>
    </row>
    <row r="365" spans="1:12" outlineLevel="1" x14ac:dyDescent="0.2">
      <c r="A365" s="76"/>
      <c r="B365" s="39" t="s">
        <v>131</v>
      </c>
      <c r="C365" s="39" t="s">
        <v>137</v>
      </c>
      <c r="D365" s="39" t="s">
        <v>140</v>
      </c>
      <c r="E365" s="65" t="s">
        <v>339</v>
      </c>
      <c r="F365" s="66">
        <v>0.45300000000000001</v>
      </c>
      <c r="G365" s="67">
        <v>0.48199999999999998</v>
      </c>
      <c r="H365" s="68">
        <v>0.52300000000000002</v>
      </c>
      <c r="I365" s="69">
        <v>0.53300000000000003</v>
      </c>
      <c r="J365" s="68">
        <v>0.54600000000000004</v>
      </c>
      <c r="K365" s="67">
        <v>0.57500000000000007</v>
      </c>
      <c r="L365" s="66">
        <v>0.60199999999999998</v>
      </c>
    </row>
    <row r="366" spans="1:12" outlineLevel="1" x14ac:dyDescent="0.2">
      <c r="A366" s="76"/>
      <c r="B366" s="39" t="s">
        <v>131</v>
      </c>
      <c r="C366" s="39" t="s">
        <v>137</v>
      </c>
      <c r="D366" s="39" t="s">
        <v>140</v>
      </c>
      <c r="E366" s="65" t="s">
        <v>351</v>
      </c>
      <c r="F366" s="66">
        <v>0.46500000000000002</v>
      </c>
      <c r="G366" s="67">
        <v>0.495</v>
      </c>
      <c r="H366" s="68">
        <v>0.53500000000000003</v>
      </c>
      <c r="I366" s="69">
        <v>0.54500000000000004</v>
      </c>
      <c r="J366" s="68">
        <v>0.55800000000000005</v>
      </c>
      <c r="K366" s="67">
        <v>0.58799999999999997</v>
      </c>
      <c r="L366" s="66">
        <v>0.61399999999999999</v>
      </c>
    </row>
    <row r="367" spans="1:12" outlineLevel="1" x14ac:dyDescent="0.2">
      <c r="A367" s="76"/>
      <c r="B367" s="39" t="s">
        <v>131</v>
      </c>
      <c r="C367" s="39" t="s">
        <v>137</v>
      </c>
      <c r="D367" s="39" t="s">
        <v>140</v>
      </c>
      <c r="E367" s="65" t="s">
        <v>352</v>
      </c>
      <c r="F367" s="66">
        <v>0.46900000000000003</v>
      </c>
      <c r="G367" s="67">
        <v>0.498</v>
      </c>
      <c r="H367" s="68">
        <v>0.53800000000000003</v>
      </c>
      <c r="I367" s="69">
        <v>0.54800000000000004</v>
      </c>
      <c r="J367" s="68">
        <v>0.56200000000000006</v>
      </c>
      <c r="K367" s="67">
        <v>0.59099999999999997</v>
      </c>
      <c r="L367" s="66">
        <v>0.61699999999999999</v>
      </c>
    </row>
    <row r="368" spans="1:12" ht="14.1" customHeight="1" outlineLevel="1" x14ac:dyDescent="0.2">
      <c r="A368" s="76"/>
      <c r="B368" s="39" t="s">
        <v>131</v>
      </c>
      <c r="C368" s="39" t="s">
        <v>137</v>
      </c>
      <c r="D368" s="39" t="s">
        <v>140</v>
      </c>
      <c r="E368" s="65" t="s">
        <v>104</v>
      </c>
      <c r="F368" s="69"/>
      <c r="G368" s="69"/>
      <c r="H368" s="68">
        <v>1.4E-2</v>
      </c>
      <c r="I368" s="69">
        <v>1.7000000000000001E-2</v>
      </c>
      <c r="J368" s="68">
        <v>0.02</v>
      </c>
      <c r="K368" s="67">
        <v>3.6999999999999998E-2</v>
      </c>
      <c r="L368" s="66">
        <v>5.3999999999999999E-2</v>
      </c>
    </row>
    <row r="369" spans="1:12" outlineLevel="1" x14ac:dyDescent="0.2">
      <c r="A369" s="76"/>
      <c r="B369" s="39" t="s">
        <v>131</v>
      </c>
      <c r="C369" s="39" t="s">
        <v>137</v>
      </c>
      <c r="D369" s="39" t="s">
        <v>140</v>
      </c>
      <c r="E369" s="65" t="s">
        <v>105</v>
      </c>
      <c r="F369" s="69"/>
      <c r="G369" s="69"/>
      <c r="H369" s="68">
        <v>9.4E-2</v>
      </c>
      <c r="I369" s="69">
        <v>0.10400000000000001</v>
      </c>
      <c r="J369" s="68">
        <v>0.111</v>
      </c>
      <c r="K369" s="67">
        <v>0.126</v>
      </c>
      <c r="L369" s="66">
        <v>0.14599999999999999</v>
      </c>
    </row>
    <row r="370" spans="1:12" outlineLevel="1" x14ac:dyDescent="0.2">
      <c r="A370" s="76"/>
      <c r="B370" s="39" t="s">
        <v>131</v>
      </c>
      <c r="C370" s="39" t="s">
        <v>137</v>
      </c>
      <c r="D370" s="39" t="s">
        <v>140</v>
      </c>
      <c r="E370" s="65" t="s">
        <v>106</v>
      </c>
      <c r="F370" s="69"/>
      <c r="G370" s="69"/>
      <c r="H370" s="69"/>
      <c r="I370" s="69">
        <v>6.5000000000000002E-2</v>
      </c>
      <c r="J370" s="69"/>
      <c r="K370" s="67">
        <v>0.09</v>
      </c>
      <c r="L370" s="66">
        <v>0.11800000000000001</v>
      </c>
    </row>
    <row r="371" spans="1:12" outlineLevel="1" x14ac:dyDescent="0.2">
      <c r="A371" s="76"/>
      <c r="B371" s="39" t="s">
        <v>131</v>
      </c>
      <c r="C371" s="39" t="s">
        <v>137</v>
      </c>
      <c r="D371" s="39" t="s">
        <v>140</v>
      </c>
      <c r="E371" s="65" t="s">
        <v>107</v>
      </c>
      <c r="F371" s="69"/>
      <c r="G371" s="69"/>
      <c r="H371" s="69"/>
      <c r="I371" s="69">
        <v>1.6E-2</v>
      </c>
      <c r="J371" s="69"/>
      <c r="K371" s="67">
        <v>3.5000000000000003E-2</v>
      </c>
      <c r="L371" s="66">
        <v>5.1000000000000004E-2</v>
      </c>
    </row>
    <row r="372" spans="1:12" outlineLevel="1" x14ac:dyDescent="0.2">
      <c r="A372" s="76"/>
      <c r="B372" s="39" t="s">
        <v>131</v>
      </c>
      <c r="C372" s="39" t="s">
        <v>137</v>
      </c>
      <c r="D372" s="39" t="s">
        <v>140</v>
      </c>
      <c r="E372" s="65" t="s">
        <v>108</v>
      </c>
      <c r="F372" s="69"/>
      <c r="G372" s="69"/>
      <c r="H372" s="69"/>
      <c r="I372" s="69">
        <v>6.6000000000000003E-2</v>
      </c>
      <c r="J372" s="69"/>
      <c r="K372" s="67">
        <v>0.10400000000000001</v>
      </c>
      <c r="L372" s="66">
        <v>0.125</v>
      </c>
    </row>
    <row r="373" spans="1:12" outlineLevel="1" x14ac:dyDescent="0.2">
      <c r="A373" s="76"/>
      <c r="B373" s="39" t="s">
        <v>131</v>
      </c>
      <c r="C373" s="39" t="s">
        <v>137</v>
      </c>
      <c r="D373" s="39" t="s">
        <v>140</v>
      </c>
      <c r="E373" s="65" t="s">
        <v>109</v>
      </c>
      <c r="F373" s="66">
        <v>3.6999999999999998E-2</v>
      </c>
      <c r="G373" s="67">
        <v>4.3999999999999997E-2</v>
      </c>
      <c r="H373" s="68">
        <v>5.5E-2</v>
      </c>
      <c r="I373" s="69">
        <v>5.9000000000000004E-2</v>
      </c>
      <c r="J373" s="68">
        <v>6.6000000000000003E-2</v>
      </c>
      <c r="K373" s="69"/>
      <c r="L373" s="69"/>
    </row>
    <row r="374" spans="1:12" outlineLevel="1" x14ac:dyDescent="0.2">
      <c r="A374" s="76"/>
      <c r="B374" s="39" t="s">
        <v>131</v>
      </c>
      <c r="C374" s="39" t="s">
        <v>137</v>
      </c>
      <c r="D374" s="39" t="s">
        <v>140</v>
      </c>
      <c r="E374" s="65" t="s">
        <v>110</v>
      </c>
      <c r="F374" s="69"/>
      <c r="G374" s="69"/>
      <c r="H374" s="69"/>
      <c r="I374" s="69">
        <v>1.8000000000000002E-2</v>
      </c>
      <c r="J374" s="69"/>
      <c r="K374" s="67">
        <v>2.6000000000000002E-2</v>
      </c>
      <c r="L374" s="66">
        <v>3.1E-2</v>
      </c>
    </row>
    <row r="375" spans="1:12" outlineLevel="1" x14ac:dyDescent="0.2">
      <c r="A375" s="76"/>
      <c r="B375" s="39" t="s">
        <v>131</v>
      </c>
      <c r="C375" s="39" t="s">
        <v>137</v>
      </c>
      <c r="D375" s="39" t="s">
        <v>140</v>
      </c>
      <c r="E375" s="65" t="s">
        <v>34</v>
      </c>
      <c r="F375" s="69"/>
      <c r="G375" s="69"/>
      <c r="H375" s="68">
        <v>7.9000000000000001E-2</v>
      </c>
      <c r="I375" s="69">
        <v>8.4000000000000005E-2</v>
      </c>
      <c r="J375" s="68">
        <v>9.2999999999999999E-2</v>
      </c>
      <c r="K375" s="67">
        <v>0.115</v>
      </c>
      <c r="L375" s="66">
        <v>0.13300000000000001</v>
      </c>
    </row>
    <row r="376" spans="1:12" outlineLevel="1" x14ac:dyDescent="0.2">
      <c r="A376" s="76"/>
      <c r="B376" s="39" t="s">
        <v>131</v>
      </c>
      <c r="C376" s="39" t="s">
        <v>137</v>
      </c>
      <c r="D376" s="39" t="s">
        <v>140</v>
      </c>
      <c r="E376" s="65" t="s">
        <v>4</v>
      </c>
      <c r="F376" s="71">
        <v>13.700000000000001</v>
      </c>
      <c r="G376" s="72">
        <v>14.700000000000001</v>
      </c>
      <c r="H376" s="73">
        <v>15.600000000000001</v>
      </c>
      <c r="I376" s="74">
        <v>16.3</v>
      </c>
      <c r="J376" s="73">
        <v>17</v>
      </c>
      <c r="K376" s="72">
        <v>18.8</v>
      </c>
      <c r="L376" s="71">
        <v>20.200000000000003</v>
      </c>
    </row>
    <row r="377" spans="1:12" outlineLevel="1" x14ac:dyDescent="0.2">
      <c r="A377" s="76"/>
      <c r="B377" s="39" t="s">
        <v>131</v>
      </c>
      <c r="C377" s="39" t="s">
        <v>137</v>
      </c>
      <c r="D377" s="39" t="s">
        <v>140</v>
      </c>
      <c r="E377" s="70" t="s">
        <v>14</v>
      </c>
      <c r="F377" s="71">
        <v>7.1000000000000005</v>
      </c>
      <c r="G377" s="72">
        <v>7.9</v>
      </c>
      <c r="H377" s="73">
        <v>8.7000000000000011</v>
      </c>
      <c r="I377" s="74">
        <v>9.1</v>
      </c>
      <c r="J377" s="73">
        <v>9.7000000000000011</v>
      </c>
      <c r="K377" s="72">
        <v>10.5</v>
      </c>
      <c r="L377" s="71">
        <v>11.4</v>
      </c>
    </row>
    <row r="378" spans="1:12" outlineLevel="1" x14ac:dyDescent="0.2">
      <c r="A378" s="76"/>
      <c r="B378" s="39" t="s">
        <v>131</v>
      </c>
      <c r="C378" s="39" t="s">
        <v>137</v>
      </c>
      <c r="D378" s="39" t="s">
        <v>140</v>
      </c>
      <c r="E378" s="65" t="s">
        <v>0</v>
      </c>
      <c r="F378" s="71">
        <v>19.200000000000003</v>
      </c>
      <c r="G378" s="72">
        <v>20.6</v>
      </c>
      <c r="H378" s="73">
        <v>22.200000000000003</v>
      </c>
      <c r="I378" s="74">
        <v>22.900000000000002</v>
      </c>
      <c r="J378" s="73">
        <v>23.400000000000002</v>
      </c>
      <c r="K378" s="72">
        <v>25.400000000000002</v>
      </c>
      <c r="L378" s="71">
        <v>26.5</v>
      </c>
    </row>
    <row r="379" spans="1:12" outlineLevel="1" x14ac:dyDescent="0.2">
      <c r="A379" s="76"/>
    </row>
    <row r="380" spans="1:12" x14ac:dyDescent="0.2">
      <c r="A380" s="76">
        <v>180</v>
      </c>
      <c r="B380" s="39" t="s">
        <v>131</v>
      </c>
      <c r="C380" s="39" t="s">
        <v>138</v>
      </c>
      <c r="D380" s="39" t="s">
        <v>140</v>
      </c>
      <c r="E380" s="153" t="s">
        <v>197</v>
      </c>
    </row>
    <row r="381" spans="1:12" outlineLevel="1" x14ac:dyDescent="0.2">
      <c r="A381" s="76"/>
      <c r="B381" s="39" t="s">
        <v>131</v>
      </c>
      <c r="C381" s="39" t="s">
        <v>138</v>
      </c>
      <c r="D381" s="39" t="s">
        <v>140</v>
      </c>
      <c r="E381" s="65" t="s">
        <v>338</v>
      </c>
      <c r="F381" s="66">
        <v>0.47400000000000003</v>
      </c>
      <c r="G381" s="67">
        <v>0.495</v>
      </c>
      <c r="H381" s="68">
        <v>0.52</v>
      </c>
      <c r="I381" s="69">
        <v>0.53300000000000003</v>
      </c>
      <c r="J381" s="68">
        <v>0.54200000000000004</v>
      </c>
      <c r="K381" s="67">
        <v>0.57500000000000007</v>
      </c>
      <c r="L381" s="66">
        <v>0.59199999999999997</v>
      </c>
    </row>
    <row r="382" spans="1:12" outlineLevel="1" x14ac:dyDescent="0.2">
      <c r="A382" s="76"/>
      <c r="B382" s="39" t="s">
        <v>131</v>
      </c>
      <c r="C382" s="39" t="s">
        <v>138</v>
      </c>
      <c r="D382" s="39" t="s">
        <v>140</v>
      </c>
      <c r="E382" s="65" t="s">
        <v>339</v>
      </c>
      <c r="F382" s="66">
        <v>0.48599999999999999</v>
      </c>
      <c r="G382" s="67">
        <v>0.50800000000000001</v>
      </c>
      <c r="H382" s="68">
        <v>0.53300000000000003</v>
      </c>
      <c r="I382" s="69">
        <v>0.54500000000000004</v>
      </c>
      <c r="J382" s="68">
        <v>0.55400000000000005</v>
      </c>
      <c r="K382" s="67">
        <v>0.58699999999999997</v>
      </c>
      <c r="L382" s="66">
        <v>0.60399999999999998</v>
      </c>
    </row>
    <row r="383" spans="1:12" outlineLevel="1" x14ac:dyDescent="0.2">
      <c r="A383" s="76"/>
      <c r="B383" s="39" t="s">
        <v>131</v>
      </c>
      <c r="C383" s="39" t="s">
        <v>138</v>
      </c>
      <c r="D383" s="39" t="s">
        <v>140</v>
      </c>
      <c r="E383" s="65" t="s">
        <v>351</v>
      </c>
      <c r="F383" s="66">
        <v>0.499</v>
      </c>
      <c r="G383" s="67">
        <v>0.52</v>
      </c>
      <c r="H383" s="68">
        <v>0.54500000000000004</v>
      </c>
      <c r="I383" s="69">
        <v>0.55700000000000005</v>
      </c>
      <c r="J383" s="68">
        <v>0.56600000000000006</v>
      </c>
      <c r="K383" s="67">
        <v>0.59899999999999998</v>
      </c>
      <c r="L383" s="66">
        <v>0.61599999999999999</v>
      </c>
    </row>
    <row r="384" spans="1:12" outlineLevel="1" x14ac:dyDescent="0.2">
      <c r="A384" s="76"/>
      <c r="B384" s="39" t="s">
        <v>131</v>
      </c>
      <c r="C384" s="39" t="s">
        <v>138</v>
      </c>
      <c r="D384" s="39" t="s">
        <v>140</v>
      </c>
      <c r="E384" s="65" t="s">
        <v>352</v>
      </c>
      <c r="F384" s="66">
        <v>0.502</v>
      </c>
      <c r="G384" s="67">
        <v>0.52400000000000002</v>
      </c>
      <c r="H384" s="68">
        <v>0.54800000000000004</v>
      </c>
      <c r="I384" s="69">
        <v>0.56000000000000005</v>
      </c>
      <c r="J384" s="68">
        <v>0.56900000000000006</v>
      </c>
      <c r="K384" s="67">
        <v>0.60199999999999998</v>
      </c>
      <c r="L384" s="66">
        <v>0.61899999999999999</v>
      </c>
    </row>
    <row r="385" spans="1:14" outlineLevel="1" x14ac:dyDescent="0.2">
      <c r="A385" s="76"/>
      <c r="B385" s="39" t="s">
        <v>131</v>
      </c>
      <c r="C385" s="39" t="s">
        <v>138</v>
      </c>
      <c r="D385" s="39" t="s">
        <v>140</v>
      </c>
      <c r="E385" s="65" t="s">
        <v>104</v>
      </c>
      <c r="F385" s="69"/>
      <c r="G385" s="69"/>
      <c r="H385" s="68">
        <v>1.4E-2</v>
      </c>
      <c r="I385" s="69">
        <v>1.8000000000000002E-2</v>
      </c>
      <c r="J385" s="68">
        <v>2.1999999999999999E-2</v>
      </c>
      <c r="K385" s="67">
        <v>3.3000000000000002E-2</v>
      </c>
      <c r="L385" s="66">
        <v>4.3999999999999997E-2</v>
      </c>
    </row>
    <row r="386" spans="1:14" outlineLevel="1" x14ac:dyDescent="0.2">
      <c r="A386" s="76"/>
      <c r="B386" s="39" t="s">
        <v>131</v>
      </c>
      <c r="C386" s="39" t="s">
        <v>138</v>
      </c>
      <c r="D386" s="39" t="s">
        <v>140</v>
      </c>
      <c r="E386" s="65" t="s">
        <v>105</v>
      </c>
      <c r="F386" s="69"/>
      <c r="G386" s="69"/>
      <c r="H386" s="68">
        <v>9.2999999999999999E-2</v>
      </c>
      <c r="I386" s="69">
        <v>0.1</v>
      </c>
      <c r="J386" s="68">
        <v>0.109</v>
      </c>
      <c r="K386" s="67">
        <v>0.13</v>
      </c>
      <c r="L386" s="66">
        <v>0.14499999999999999</v>
      </c>
    </row>
    <row r="387" spans="1:14" outlineLevel="1" x14ac:dyDescent="0.2">
      <c r="A387" s="76"/>
      <c r="B387" s="39" t="s">
        <v>131</v>
      </c>
      <c r="C387" s="39" t="s">
        <v>138</v>
      </c>
      <c r="D387" s="39" t="s">
        <v>140</v>
      </c>
      <c r="E387" s="65" t="s">
        <v>106</v>
      </c>
      <c r="F387" s="69"/>
      <c r="G387" s="69"/>
      <c r="H387" s="69"/>
      <c r="I387" s="69">
        <v>0.06</v>
      </c>
      <c r="J387" s="69"/>
      <c r="K387" s="67">
        <v>8.6000000000000007E-2</v>
      </c>
      <c r="L387" s="66">
        <v>0.109</v>
      </c>
      <c r="N387" s="77"/>
    </row>
    <row r="388" spans="1:14" outlineLevel="1" x14ac:dyDescent="0.2">
      <c r="A388" s="76"/>
      <c r="B388" s="39" t="s">
        <v>131</v>
      </c>
      <c r="C388" s="39" t="s">
        <v>138</v>
      </c>
      <c r="D388" s="39" t="s">
        <v>140</v>
      </c>
      <c r="E388" s="65" t="s">
        <v>107</v>
      </c>
      <c r="F388" s="69"/>
      <c r="G388" s="69"/>
      <c r="H388" s="69"/>
      <c r="I388" s="69">
        <v>1.4999999999999999E-2</v>
      </c>
      <c r="J388" s="69"/>
      <c r="K388" s="67">
        <v>3.3000000000000002E-2</v>
      </c>
      <c r="L388" s="66">
        <v>4.4999999999999998E-2</v>
      </c>
    </row>
    <row r="389" spans="1:14" outlineLevel="1" x14ac:dyDescent="0.2">
      <c r="A389" s="76"/>
      <c r="B389" s="39" t="s">
        <v>131</v>
      </c>
      <c r="C389" s="39" t="s">
        <v>138</v>
      </c>
      <c r="D389" s="39" t="s">
        <v>140</v>
      </c>
      <c r="E389" s="65" t="s">
        <v>108</v>
      </c>
      <c r="F389" s="69"/>
      <c r="G389" s="69"/>
      <c r="H389" s="69"/>
      <c r="I389" s="69">
        <v>7.0000000000000007E-2</v>
      </c>
      <c r="J389" s="69"/>
      <c r="K389" s="67">
        <v>0.109</v>
      </c>
      <c r="L389" s="66">
        <v>0.14300000000000002</v>
      </c>
    </row>
    <row r="390" spans="1:14" outlineLevel="1" x14ac:dyDescent="0.2">
      <c r="A390" s="76"/>
      <c r="B390" s="39" t="s">
        <v>131</v>
      </c>
      <c r="C390" s="39" t="s">
        <v>138</v>
      </c>
      <c r="D390" s="39" t="s">
        <v>140</v>
      </c>
      <c r="E390" s="65" t="s">
        <v>109</v>
      </c>
      <c r="F390" s="66">
        <v>0.04</v>
      </c>
      <c r="G390" s="67">
        <v>4.4999999999999998E-2</v>
      </c>
      <c r="H390" s="68">
        <v>5.6000000000000001E-2</v>
      </c>
      <c r="I390" s="69">
        <v>6.2E-2</v>
      </c>
      <c r="J390" s="68">
        <v>6.6000000000000003E-2</v>
      </c>
      <c r="K390" s="69"/>
      <c r="L390" s="69"/>
    </row>
    <row r="391" spans="1:14" outlineLevel="1" x14ac:dyDescent="0.2">
      <c r="A391" s="76"/>
      <c r="B391" s="39" t="s">
        <v>131</v>
      </c>
      <c r="C391" s="39" t="s">
        <v>138</v>
      </c>
      <c r="D391" s="39" t="s">
        <v>140</v>
      </c>
      <c r="E391" s="65" t="s">
        <v>110</v>
      </c>
      <c r="F391" s="69"/>
      <c r="G391" s="69"/>
      <c r="H391" s="69"/>
      <c r="I391" s="69">
        <v>1.6E-2</v>
      </c>
      <c r="J391" s="69"/>
      <c r="K391" s="67">
        <v>2.1000000000000001E-2</v>
      </c>
      <c r="L391" s="66">
        <v>2.4E-2</v>
      </c>
    </row>
    <row r="392" spans="1:14" outlineLevel="1" x14ac:dyDescent="0.2">
      <c r="A392" s="76"/>
      <c r="B392" s="39" t="s">
        <v>131</v>
      </c>
      <c r="C392" s="39" t="s">
        <v>138</v>
      </c>
      <c r="D392" s="39" t="s">
        <v>140</v>
      </c>
      <c r="E392" s="65" t="s">
        <v>34</v>
      </c>
      <c r="F392" s="69"/>
      <c r="G392" s="69"/>
      <c r="H392" s="68">
        <v>6.2E-2</v>
      </c>
      <c r="I392" s="69">
        <v>6.8000000000000005E-2</v>
      </c>
      <c r="J392" s="68">
        <v>7.4999999999999997E-2</v>
      </c>
      <c r="K392" s="67">
        <v>0.09</v>
      </c>
      <c r="L392" s="66">
        <v>0.1</v>
      </c>
    </row>
    <row r="393" spans="1:14" outlineLevel="1" x14ac:dyDescent="0.2">
      <c r="A393" s="76"/>
      <c r="B393" s="39" t="s">
        <v>131</v>
      </c>
      <c r="C393" s="39" t="s">
        <v>138</v>
      </c>
      <c r="D393" s="39" t="s">
        <v>140</v>
      </c>
      <c r="E393" s="65" t="s">
        <v>4</v>
      </c>
      <c r="F393" s="71">
        <v>14.5</v>
      </c>
      <c r="G393" s="72">
        <v>15.200000000000001</v>
      </c>
      <c r="H393" s="73">
        <v>16.100000000000001</v>
      </c>
      <c r="I393" s="74">
        <v>16.600000000000001</v>
      </c>
      <c r="J393" s="73">
        <v>17.2</v>
      </c>
      <c r="K393" s="72">
        <v>18</v>
      </c>
      <c r="L393" s="71">
        <v>19.3</v>
      </c>
    </row>
    <row r="394" spans="1:14" outlineLevel="1" x14ac:dyDescent="0.2">
      <c r="A394" s="76"/>
      <c r="B394" s="39" t="s">
        <v>131</v>
      </c>
      <c r="C394" s="39" t="s">
        <v>138</v>
      </c>
      <c r="D394" s="39" t="s">
        <v>140</v>
      </c>
      <c r="E394" s="65" t="s">
        <v>14</v>
      </c>
      <c r="F394" s="71">
        <v>8.1</v>
      </c>
      <c r="G394" s="72">
        <v>8.6</v>
      </c>
      <c r="H394" s="73">
        <v>9.2000000000000011</v>
      </c>
      <c r="I394" s="74">
        <v>9.4</v>
      </c>
      <c r="J394" s="73">
        <v>9.7000000000000011</v>
      </c>
      <c r="K394" s="72">
        <v>10.5</v>
      </c>
      <c r="L394" s="71">
        <v>11.200000000000001</v>
      </c>
    </row>
    <row r="395" spans="1:14" outlineLevel="1" x14ac:dyDescent="0.2">
      <c r="A395" s="76"/>
      <c r="B395" s="39" t="s">
        <v>131</v>
      </c>
      <c r="C395" s="39" t="s">
        <v>138</v>
      </c>
      <c r="D395" s="39" t="s">
        <v>140</v>
      </c>
      <c r="E395" s="65" t="s">
        <v>0</v>
      </c>
      <c r="F395" s="71">
        <v>21</v>
      </c>
      <c r="G395" s="72">
        <v>21.8</v>
      </c>
      <c r="H395" s="73">
        <v>22.900000000000002</v>
      </c>
      <c r="I395" s="74">
        <v>23.3</v>
      </c>
      <c r="J395" s="73">
        <v>23.6</v>
      </c>
      <c r="K395" s="72">
        <v>24.400000000000002</v>
      </c>
      <c r="L395" s="71">
        <v>25.3</v>
      </c>
    </row>
    <row r="396" spans="1:14" outlineLevel="1" x14ac:dyDescent="0.2">
      <c r="A396" s="76"/>
    </row>
    <row r="397" spans="1:14" x14ac:dyDescent="0.2">
      <c r="A397" s="76">
        <v>101</v>
      </c>
      <c r="B397" s="39" t="s">
        <v>131</v>
      </c>
      <c r="C397" s="39" t="s">
        <v>139</v>
      </c>
      <c r="D397" s="39" t="s">
        <v>140</v>
      </c>
      <c r="E397" s="153" t="s">
        <v>198</v>
      </c>
    </row>
    <row r="398" spans="1:14" outlineLevel="1" x14ac:dyDescent="0.2">
      <c r="A398" s="76"/>
      <c r="B398" s="39" t="s">
        <v>131</v>
      </c>
      <c r="C398" s="39" t="s">
        <v>139</v>
      </c>
      <c r="D398" s="39" t="s">
        <v>140</v>
      </c>
      <c r="E398" s="65" t="s">
        <v>338</v>
      </c>
      <c r="F398" s="66">
        <v>0.46200000000000002</v>
      </c>
      <c r="G398" s="67">
        <v>0.48199999999999998</v>
      </c>
      <c r="H398" s="68">
        <v>0.51100000000000001</v>
      </c>
      <c r="I398" s="69">
        <v>0.52300000000000002</v>
      </c>
      <c r="J398" s="68">
        <v>0.54</v>
      </c>
      <c r="K398" s="67">
        <v>0.56900000000000006</v>
      </c>
      <c r="L398" s="66">
        <v>0.58799999999999997</v>
      </c>
    </row>
    <row r="399" spans="1:14" outlineLevel="1" x14ac:dyDescent="0.2">
      <c r="A399" s="76"/>
      <c r="B399" s="39" t="s">
        <v>131</v>
      </c>
      <c r="C399" s="39" t="s">
        <v>139</v>
      </c>
      <c r="D399" s="39" t="s">
        <v>140</v>
      </c>
      <c r="E399" s="65" t="s">
        <v>339</v>
      </c>
      <c r="F399" s="66">
        <v>0.47400000000000003</v>
      </c>
      <c r="G399" s="67">
        <v>0.49399999999999999</v>
      </c>
      <c r="H399" s="68">
        <v>0.52400000000000002</v>
      </c>
      <c r="I399" s="69">
        <v>0.53600000000000003</v>
      </c>
      <c r="J399" s="68">
        <v>0.55300000000000005</v>
      </c>
      <c r="K399" s="67">
        <v>0.58099999999999996</v>
      </c>
      <c r="L399" s="66">
        <v>0.6</v>
      </c>
    </row>
    <row r="400" spans="1:14" outlineLevel="1" x14ac:dyDescent="0.2">
      <c r="A400" s="76"/>
      <c r="B400" s="39" t="s">
        <v>131</v>
      </c>
      <c r="C400" s="39" t="s">
        <v>139</v>
      </c>
      <c r="D400" s="39" t="s">
        <v>140</v>
      </c>
      <c r="E400" s="65" t="s">
        <v>351</v>
      </c>
      <c r="F400" s="66">
        <v>0.48699999999999999</v>
      </c>
      <c r="G400" s="67">
        <v>0.50700000000000001</v>
      </c>
      <c r="H400" s="68">
        <v>0.53600000000000003</v>
      </c>
      <c r="I400" s="69">
        <v>0.54800000000000004</v>
      </c>
      <c r="J400" s="68">
        <v>0.56500000000000006</v>
      </c>
      <c r="K400" s="67">
        <v>0.59299999999999997</v>
      </c>
      <c r="L400" s="66">
        <v>0.61199999999999999</v>
      </c>
    </row>
    <row r="401" spans="1:12" outlineLevel="1" x14ac:dyDescent="0.2">
      <c r="A401" s="76"/>
      <c r="B401" s="39" t="s">
        <v>131</v>
      </c>
      <c r="C401" s="39" t="s">
        <v>139</v>
      </c>
      <c r="D401" s="39" t="s">
        <v>140</v>
      </c>
      <c r="E401" s="65" t="s">
        <v>352</v>
      </c>
      <c r="F401" s="66">
        <v>0.49</v>
      </c>
      <c r="G401" s="67">
        <v>0.51</v>
      </c>
      <c r="H401" s="68">
        <v>0.53900000000000003</v>
      </c>
      <c r="I401" s="69">
        <v>0.55100000000000005</v>
      </c>
      <c r="J401" s="68">
        <v>0.56800000000000006</v>
      </c>
      <c r="K401" s="67">
        <v>0.59599999999999997</v>
      </c>
      <c r="L401" s="66">
        <v>0.61499999999999999</v>
      </c>
    </row>
    <row r="402" spans="1:12" outlineLevel="1" x14ac:dyDescent="0.2">
      <c r="A402" s="76"/>
      <c r="B402" s="39" t="s">
        <v>131</v>
      </c>
      <c r="C402" s="39" t="s">
        <v>139</v>
      </c>
      <c r="D402" s="39" t="s">
        <v>140</v>
      </c>
      <c r="E402" s="65" t="s">
        <v>104</v>
      </c>
      <c r="F402" s="69"/>
      <c r="G402" s="69"/>
      <c r="H402" s="68">
        <v>1.6E-2</v>
      </c>
      <c r="I402" s="69">
        <v>1.9E-2</v>
      </c>
      <c r="J402" s="68">
        <v>2.1999999999999999E-2</v>
      </c>
      <c r="K402" s="67">
        <v>3.2000000000000001E-2</v>
      </c>
      <c r="L402" s="66">
        <v>4.3999999999999997E-2</v>
      </c>
    </row>
    <row r="403" spans="1:12" outlineLevel="1" x14ac:dyDescent="0.2">
      <c r="A403" s="76"/>
      <c r="B403" s="39" t="s">
        <v>131</v>
      </c>
      <c r="C403" s="39" t="s">
        <v>139</v>
      </c>
      <c r="D403" s="39" t="s">
        <v>140</v>
      </c>
      <c r="E403" s="65" t="s">
        <v>105</v>
      </c>
      <c r="F403" s="69"/>
      <c r="G403" s="69"/>
      <c r="H403" s="68">
        <v>0.108</v>
      </c>
      <c r="I403" s="69">
        <v>0.11600000000000001</v>
      </c>
      <c r="J403" s="68">
        <v>0.122</v>
      </c>
      <c r="K403" s="67">
        <v>0.13800000000000001</v>
      </c>
      <c r="L403" s="66">
        <v>0.15</v>
      </c>
    </row>
    <row r="404" spans="1:12" outlineLevel="1" x14ac:dyDescent="0.2">
      <c r="A404" s="76"/>
      <c r="B404" s="39" t="s">
        <v>131</v>
      </c>
      <c r="C404" s="39" t="s">
        <v>139</v>
      </c>
      <c r="D404" s="39" t="s">
        <v>140</v>
      </c>
      <c r="E404" s="65" t="s">
        <v>106</v>
      </c>
      <c r="F404" s="69"/>
      <c r="G404" s="69"/>
      <c r="H404" s="69"/>
      <c r="I404" s="69">
        <v>5.6000000000000001E-2</v>
      </c>
      <c r="J404" s="69"/>
      <c r="K404" s="67">
        <v>8.3000000000000004E-2</v>
      </c>
      <c r="L404" s="66">
        <v>0.1</v>
      </c>
    </row>
    <row r="405" spans="1:12" outlineLevel="1" x14ac:dyDescent="0.2">
      <c r="A405" s="76"/>
      <c r="B405" s="39" t="s">
        <v>131</v>
      </c>
      <c r="C405" s="39" t="s">
        <v>139</v>
      </c>
      <c r="D405" s="39" t="s">
        <v>140</v>
      </c>
      <c r="E405" s="65" t="s">
        <v>107</v>
      </c>
      <c r="F405" s="69"/>
      <c r="G405" s="69"/>
      <c r="H405" s="69"/>
      <c r="I405" s="69">
        <v>1.4999999999999999E-2</v>
      </c>
      <c r="J405" s="69"/>
      <c r="K405" s="67">
        <v>2.9000000000000001E-2</v>
      </c>
      <c r="L405" s="66">
        <v>4.3000000000000003E-2</v>
      </c>
    </row>
    <row r="406" spans="1:12" outlineLevel="1" x14ac:dyDescent="0.2">
      <c r="A406" s="76"/>
      <c r="B406" s="39" t="s">
        <v>131</v>
      </c>
      <c r="C406" s="39" t="s">
        <v>139</v>
      </c>
      <c r="D406" s="39" t="s">
        <v>140</v>
      </c>
      <c r="E406" s="65" t="s">
        <v>108</v>
      </c>
      <c r="F406" s="69"/>
      <c r="G406" s="69"/>
      <c r="H406" s="69"/>
      <c r="I406" s="69">
        <v>7.2999999999999995E-2</v>
      </c>
      <c r="J406" s="69"/>
      <c r="K406" s="67">
        <v>0.11</v>
      </c>
      <c r="L406" s="66">
        <v>0.151</v>
      </c>
    </row>
    <row r="407" spans="1:12" outlineLevel="1" x14ac:dyDescent="0.2">
      <c r="A407" s="76"/>
      <c r="B407" s="39" t="s">
        <v>131</v>
      </c>
      <c r="C407" s="39" t="s">
        <v>139</v>
      </c>
      <c r="D407" s="39" t="s">
        <v>140</v>
      </c>
      <c r="E407" s="65" t="s">
        <v>109</v>
      </c>
      <c r="F407" s="66">
        <v>3.9E-2</v>
      </c>
      <c r="G407" s="67">
        <v>4.8000000000000001E-2</v>
      </c>
      <c r="H407" s="68">
        <v>5.9000000000000004E-2</v>
      </c>
      <c r="I407" s="69">
        <v>6.4000000000000001E-2</v>
      </c>
      <c r="J407" s="68">
        <v>7.0000000000000007E-2</v>
      </c>
      <c r="K407" s="69"/>
      <c r="L407" s="69"/>
    </row>
    <row r="408" spans="1:12" outlineLevel="1" x14ac:dyDescent="0.2">
      <c r="A408" s="76"/>
      <c r="B408" s="39" t="s">
        <v>131</v>
      </c>
      <c r="C408" s="39" t="s">
        <v>139</v>
      </c>
      <c r="D408" s="39" t="s">
        <v>140</v>
      </c>
      <c r="E408" s="65" t="s">
        <v>110</v>
      </c>
      <c r="F408" s="69"/>
      <c r="G408" s="69"/>
      <c r="H408" s="69"/>
      <c r="I408" s="69">
        <v>1.4999999999999999E-2</v>
      </c>
      <c r="J408" s="69"/>
      <c r="K408" s="67">
        <v>1.8000000000000002E-2</v>
      </c>
      <c r="L408" s="66">
        <v>0.02</v>
      </c>
    </row>
    <row r="409" spans="1:12" outlineLevel="1" x14ac:dyDescent="0.2">
      <c r="A409" s="76"/>
      <c r="B409" s="39" t="s">
        <v>131</v>
      </c>
      <c r="C409" s="39" t="s">
        <v>139</v>
      </c>
      <c r="D409" s="39" t="s">
        <v>140</v>
      </c>
      <c r="E409" s="65" t="s">
        <v>34</v>
      </c>
      <c r="F409" s="69"/>
      <c r="G409" s="69"/>
      <c r="H409" s="68">
        <v>5.9000000000000004E-2</v>
      </c>
      <c r="I409" s="69">
        <v>6.4000000000000001E-2</v>
      </c>
      <c r="J409" s="68">
        <v>6.7000000000000004E-2</v>
      </c>
      <c r="K409" s="67">
        <v>7.8E-2</v>
      </c>
      <c r="L409" s="66">
        <v>9.5000000000000001E-2</v>
      </c>
    </row>
    <row r="410" spans="1:12" outlineLevel="1" x14ac:dyDescent="0.2">
      <c r="A410" s="76"/>
      <c r="B410" s="39" t="s">
        <v>131</v>
      </c>
      <c r="C410" s="39" t="s">
        <v>139</v>
      </c>
      <c r="D410" s="39" t="s">
        <v>140</v>
      </c>
      <c r="E410" s="65" t="s">
        <v>4</v>
      </c>
      <c r="F410" s="71">
        <v>14.600000000000001</v>
      </c>
      <c r="G410" s="72">
        <v>15.100000000000001</v>
      </c>
      <c r="H410" s="73">
        <v>16.100000000000001</v>
      </c>
      <c r="I410" s="74">
        <v>16.5</v>
      </c>
      <c r="J410" s="73">
        <v>17.2</v>
      </c>
      <c r="K410" s="72">
        <v>18</v>
      </c>
      <c r="L410" s="71">
        <v>18.400000000000002</v>
      </c>
    </row>
    <row r="411" spans="1:12" outlineLevel="1" x14ac:dyDescent="0.2">
      <c r="A411" s="76"/>
      <c r="B411" s="39" t="s">
        <v>131</v>
      </c>
      <c r="C411" s="39" t="s">
        <v>139</v>
      </c>
      <c r="D411" s="39" t="s">
        <v>140</v>
      </c>
      <c r="E411" s="65" t="s">
        <v>14</v>
      </c>
      <c r="F411" s="71">
        <v>8.3000000000000007</v>
      </c>
      <c r="G411" s="72">
        <v>8.6</v>
      </c>
      <c r="H411" s="73">
        <v>9.1</v>
      </c>
      <c r="I411" s="74">
        <v>9.3000000000000007</v>
      </c>
      <c r="J411" s="73">
        <v>9.6000000000000014</v>
      </c>
      <c r="K411" s="72">
        <v>10.700000000000001</v>
      </c>
      <c r="L411" s="71">
        <v>11.200000000000001</v>
      </c>
    </row>
    <row r="412" spans="1:12" outlineLevel="1" x14ac:dyDescent="0.2">
      <c r="A412" s="76"/>
      <c r="B412" s="39" t="s">
        <v>131</v>
      </c>
      <c r="C412" s="39" t="s">
        <v>139</v>
      </c>
      <c r="D412" s="39" t="s">
        <v>140</v>
      </c>
      <c r="E412" s="65" t="s">
        <v>0</v>
      </c>
      <c r="F412" s="71">
        <v>21.400000000000002</v>
      </c>
      <c r="G412" s="72">
        <v>22.1</v>
      </c>
      <c r="H412" s="73">
        <v>22.900000000000002</v>
      </c>
      <c r="I412" s="74">
        <v>23.1</v>
      </c>
      <c r="J412" s="73">
        <v>23.700000000000003</v>
      </c>
      <c r="K412" s="72">
        <v>24.900000000000002</v>
      </c>
      <c r="L412" s="71">
        <v>25.6</v>
      </c>
    </row>
    <row r="413" spans="1:12" outlineLevel="1" x14ac:dyDescent="0.2">
      <c r="A413" s="76"/>
    </row>
    <row r="414" spans="1:12" x14ac:dyDescent="0.2">
      <c r="A414" s="76">
        <v>203</v>
      </c>
      <c r="B414" s="39" t="s">
        <v>130</v>
      </c>
      <c r="C414" s="39" t="s">
        <v>137</v>
      </c>
      <c r="D414" s="39" t="s">
        <v>141</v>
      </c>
      <c r="E414" s="153" t="s">
        <v>199</v>
      </c>
    </row>
    <row r="415" spans="1:12" outlineLevel="1" x14ac:dyDescent="0.2">
      <c r="A415" s="76"/>
      <c r="B415" s="39" t="s">
        <v>130</v>
      </c>
      <c r="C415" s="39" t="s">
        <v>137</v>
      </c>
      <c r="D415" s="39" t="s">
        <v>141</v>
      </c>
      <c r="E415" s="65" t="s">
        <v>338</v>
      </c>
      <c r="F415" s="66">
        <v>0.41699999999999998</v>
      </c>
      <c r="G415" s="67">
        <v>0.443</v>
      </c>
      <c r="H415" s="68">
        <v>0.48299999999999998</v>
      </c>
      <c r="I415" s="69">
        <v>0.50800000000000001</v>
      </c>
      <c r="J415" s="68">
        <v>0.51600000000000001</v>
      </c>
      <c r="K415" s="67">
        <v>0.54600000000000004</v>
      </c>
      <c r="L415" s="66">
        <v>0.56900000000000006</v>
      </c>
    </row>
    <row r="416" spans="1:12" outlineLevel="1" x14ac:dyDescent="0.2">
      <c r="A416" s="76"/>
      <c r="B416" s="39" t="s">
        <v>130</v>
      </c>
      <c r="C416" s="39" t="s">
        <v>137</v>
      </c>
      <c r="D416" s="39" t="s">
        <v>141</v>
      </c>
      <c r="E416" s="65" t="s">
        <v>339</v>
      </c>
      <c r="F416" s="66">
        <v>0.42899999999999999</v>
      </c>
      <c r="G416" s="67">
        <v>0.45500000000000002</v>
      </c>
      <c r="H416" s="68">
        <v>0.496</v>
      </c>
      <c r="I416" s="69">
        <v>0.52</v>
      </c>
      <c r="J416" s="68">
        <v>0.52900000000000003</v>
      </c>
      <c r="K416" s="67">
        <v>0.55800000000000005</v>
      </c>
      <c r="L416" s="66">
        <v>0.58099999999999996</v>
      </c>
    </row>
    <row r="417" spans="1:12" outlineLevel="1" x14ac:dyDescent="0.2">
      <c r="A417" s="76"/>
      <c r="B417" s="39" t="s">
        <v>130</v>
      </c>
      <c r="C417" s="39" t="s">
        <v>137</v>
      </c>
      <c r="D417" s="39" t="s">
        <v>141</v>
      </c>
      <c r="E417" s="65" t="s">
        <v>351</v>
      </c>
      <c r="F417" s="66">
        <v>0.442</v>
      </c>
      <c r="G417" s="67">
        <v>0.46800000000000003</v>
      </c>
      <c r="H417" s="68">
        <v>0.50800000000000001</v>
      </c>
      <c r="I417" s="69">
        <v>0.53300000000000003</v>
      </c>
      <c r="J417" s="68">
        <v>0.54100000000000004</v>
      </c>
      <c r="K417" s="67">
        <v>0.57100000000000006</v>
      </c>
      <c r="L417" s="66">
        <v>0.59299999999999997</v>
      </c>
    </row>
    <row r="418" spans="1:12" outlineLevel="1" x14ac:dyDescent="0.2">
      <c r="A418" s="76"/>
      <c r="B418" s="39" t="s">
        <v>130</v>
      </c>
      <c r="C418" s="39" t="s">
        <v>137</v>
      </c>
      <c r="D418" s="39" t="s">
        <v>141</v>
      </c>
      <c r="E418" s="65" t="s">
        <v>352</v>
      </c>
      <c r="F418" s="66">
        <v>0.44500000000000001</v>
      </c>
      <c r="G418" s="67">
        <v>0.47100000000000003</v>
      </c>
      <c r="H418" s="68">
        <v>0.51100000000000001</v>
      </c>
      <c r="I418" s="69">
        <v>0.53600000000000003</v>
      </c>
      <c r="J418" s="68">
        <v>0.54400000000000004</v>
      </c>
      <c r="K418" s="67">
        <v>0.57400000000000007</v>
      </c>
      <c r="L418" s="66">
        <v>0.59599999999999997</v>
      </c>
    </row>
    <row r="419" spans="1:12" outlineLevel="1" x14ac:dyDescent="0.2">
      <c r="A419" s="76"/>
      <c r="B419" s="39" t="s">
        <v>130</v>
      </c>
      <c r="C419" s="39" t="s">
        <v>137</v>
      </c>
      <c r="D419" s="39" t="s">
        <v>141</v>
      </c>
      <c r="E419" s="65" t="s">
        <v>104</v>
      </c>
      <c r="F419" s="69"/>
      <c r="G419" s="69"/>
      <c r="H419" s="68">
        <v>1.6E-2</v>
      </c>
      <c r="I419" s="69">
        <v>0.02</v>
      </c>
      <c r="J419" s="68">
        <v>2.5000000000000001E-2</v>
      </c>
      <c r="K419" s="67">
        <v>3.7999999999999999E-2</v>
      </c>
      <c r="L419" s="66">
        <v>5.1000000000000004E-2</v>
      </c>
    </row>
    <row r="420" spans="1:12" outlineLevel="1" x14ac:dyDescent="0.2">
      <c r="A420" s="76"/>
      <c r="B420" s="39" t="s">
        <v>130</v>
      </c>
      <c r="C420" s="39" t="s">
        <v>137</v>
      </c>
      <c r="D420" s="39" t="s">
        <v>141</v>
      </c>
      <c r="E420" s="65" t="s">
        <v>105</v>
      </c>
      <c r="F420" s="69"/>
      <c r="G420" s="69"/>
      <c r="H420" s="68">
        <v>0.09</v>
      </c>
      <c r="I420" s="69">
        <v>0.1</v>
      </c>
      <c r="J420" s="68">
        <v>0.112</v>
      </c>
      <c r="K420" s="67">
        <v>0.13900000000000001</v>
      </c>
      <c r="L420" s="66">
        <v>0.156</v>
      </c>
    </row>
    <row r="421" spans="1:12" outlineLevel="1" x14ac:dyDescent="0.2">
      <c r="A421" s="76"/>
      <c r="B421" s="39" t="s">
        <v>130</v>
      </c>
      <c r="C421" s="39" t="s">
        <v>137</v>
      </c>
      <c r="D421" s="39" t="s">
        <v>141</v>
      </c>
      <c r="E421" s="65" t="s">
        <v>106</v>
      </c>
      <c r="F421" s="69"/>
      <c r="G421" s="69"/>
      <c r="H421" s="69"/>
      <c r="I421" s="69">
        <v>7.0000000000000007E-2</v>
      </c>
      <c r="J421" s="69"/>
      <c r="K421" s="67">
        <v>0.108</v>
      </c>
      <c r="L421" s="66">
        <v>0.13600000000000001</v>
      </c>
    </row>
    <row r="422" spans="1:12" outlineLevel="1" x14ac:dyDescent="0.2">
      <c r="A422" s="76"/>
      <c r="B422" s="39" t="s">
        <v>130</v>
      </c>
      <c r="C422" s="39" t="s">
        <v>137</v>
      </c>
      <c r="D422" s="39" t="s">
        <v>141</v>
      </c>
      <c r="E422" s="65" t="s">
        <v>107</v>
      </c>
      <c r="F422" s="69"/>
      <c r="G422" s="69"/>
      <c r="H422" s="69"/>
      <c r="I422" s="69">
        <v>1.7000000000000001E-2</v>
      </c>
      <c r="J422" s="69"/>
      <c r="K422" s="67">
        <v>3.9E-2</v>
      </c>
      <c r="L422" s="66">
        <v>0.06</v>
      </c>
    </row>
    <row r="423" spans="1:12" outlineLevel="1" x14ac:dyDescent="0.2">
      <c r="A423" s="76"/>
      <c r="B423" s="39" t="s">
        <v>130</v>
      </c>
      <c r="C423" s="39" t="s">
        <v>137</v>
      </c>
      <c r="D423" s="39" t="s">
        <v>141</v>
      </c>
      <c r="E423" s="65" t="s">
        <v>108</v>
      </c>
      <c r="F423" s="69"/>
      <c r="G423" s="69"/>
      <c r="H423" s="69"/>
      <c r="I423" s="69">
        <v>6.5000000000000002E-2</v>
      </c>
      <c r="J423" s="69"/>
      <c r="K423" s="67">
        <v>0.109</v>
      </c>
      <c r="L423" s="66">
        <v>0.14300000000000002</v>
      </c>
    </row>
    <row r="424" spans="1:12" outlineLevel="1" x14ac:dyDescent="0.2">
      <c r="A424" s="76"/>
      <c r="B424" s="39" t="s">
        <v>130</v>
      </c>
      <c r="C424" s="39" t="s">
        <v>137</v>
      </c>
      <c r="D424" s="39" t="s">
        <v>141</v>
      </c>
      <c r="E424" s="65" t="s">
        <v>109</v>
      </c>
      <c r="F424" s="66">
        <v>3.7999999999999999E-2</v>
      </c>
      <c r="G424" s="67">
        <v>4.3999999999999997E-2</v>
      </c>
      <c r="H424" s="68">
        <v>5.2999999999999999E-2</v>
      </c>
      <c r="I424" s="69">
        <v>5.8000000000000003E-2</v>
      </c>
      <c r="J424" s="68">
        <v>6.3E-2</v>
      </c>
      <c r="K424" s="69"/>
      <c r="L424" s="69"/>
    </row>
    <row r="425" spans="1:12" outlineLevel="1" x14ac:dyDescent="0.2">
      <c r="A425" s="76"/>
      <c r="B425" s="39" t="s">
        <v>130</v>
      </c>
      <c r="C425" s="39" t="s">
        <v>137</v>
      </c>
      <c r="D425" s="39" t="s">
        <v>141</v>
      </c>
      <c r="E425" s="65" t="s">
        <v>110</v>
      </c>
      <c r="F425" s="69"/>
      <c r="G425" s="69"/>
      <c r="H425" s="69"/>
      <c r="I425" s="69">
        <v>0.02</v>
      </c>
      <c r="J425" s="69"/>
      <c r="K425" s="67">
        <v>2.7E-2</v>
      </c>
      <c r="L425" s="66">
        <v>3.4000000000000002E-2</v>
      </c>
    </row>
    <row r="426" spans="1:12" outlineLevel="1" x14ac:dyDescent="0.2">
      <c r="A426" s="76"/>
      <c r="B426" s="39" t="s">
        <v>130</v>
      </c>
      <c r="C426" s="39" t="s">
        <v>137</v>
      </c>
      <c r="D426" s="39" t="s">
        <v>141</v>
      </c>
      <c r="E426" s="65" t="s">
        <v>34</v>
      </c>
      <c r="F426" s="69"/>
      <c r="G426" s="69"/>
      <c r="H426" s="68">
        <v>7.0000000000000007E-2</v>
      </c>
      <c r="I426" s="69">
        <v>7.2999999999999995E-2</v>
      </c>
      <c r="J426" s="68">
        <v>8.3000000000000004E-2</v>
      </c>
      <c r="K426" s="67">
        <v>0.105</v>
      </c>
      <c r="L426" s="66">
        <v>0.13100000000000001</v>
      </c>
    </row>
    <row r="427" spans="1:12" outlineLevel="1" x14ac:dyDescent="0.2">
      <c r="A427" s="76"/>
      <c r="B427" s="39" t="s">
        <v>130</v>
      </c>
      <c r="C427" s="39" t="s">
        <v>137</v>
      </c>
      <c r="D427" s="39" t="s">
        <v>141</v>
      </c>
      <c r="E427" s="65" t="s">
        <v>4</v>
      </c>
      <c r="F427" s="71">
        <v>12.100000000000001</v>
      </c>
      <c r="G427" s="72">
        <v>13.3</v>
      </c>
      <c r="H427" s="73">
        <v>14.700000000000001</v>
      </c>
      <c r="I427" s="74">
        <v>15.3</v>
      </c>
      <c r="J427" s="73">
        <v>15.8</v>
      </c>
      <c r="K427" s="72">
        <v>17</v>
      </c>
      <c r="L427" s="71">
        <v>18.3</v>
      </c>
    </row>
    <row r="428" spans="1:12" outlineLevel="1" x14ac:dyDescent="0.2">
      <c r="A428" s="76"/>
      <c r="B428" s="39" t="s">
        <v>130</v>
      </c>
      <c r="C428" s="39" t="s">
        <v>137</v>
      </c>
      <c r="D428" s="39" t="s">
        <v>141</v>
      </c>
      <c r="E428" s="65" t="s">
        <v>14</v>
      </c>
      <c r="F428" s="71">
        <v>7</v>
      </c>
      <c r="G428" s="72">
        <v>7.4</v>
      </c>
      <c r="H428" s="73">
        <v>8.3000000000000007</v>
      </c>
      <c r="I428" s="74">
        <v>8.7000000000000011</v>
      </c>
      <c r="J428" s="73">
        <v>9</v>
      </c>
      <c r="K428" s="72">
        <v>9.9</v>
      </c>
      <c r="L428" s="71">
        <v>10.9</v>
      </c>
    </row>
    <row r="429" spans="1:12" outlineLevel="1" x14ac:dyDescent="0.2">
      <c r="A429" s="76"/>
      <c r="B429" s="39" t="s">
        <v>130</v>
      </c>
      <c r="C429" s="39" t="s">
        <v>137</v>
      </c>
      <c r="D429" s="39" t="s">
        <v>141</v>
      </c>
      <c r="E429" s="65" t="s">
        <v>0</v>
      </c>
      <c r="F429" s="71">
        <v>16.5</v>
      </c>
      <c r="G429" s="72">
        <v>18.2</v>
      </c>
      <c r="H429" s="73">
        <v>19.900000000000002</v>
      </c>
      <c r="I429" s="74">
        <v>20.6</v>
      </c>
      <c r="J429" s="73">
        <v>21.400000000000002</v>
      </c>
      <c r="K429" s="72">
        <v>22.700000000000003</v>
      </c>
      <c r="L429" s="71">
        <v>24.5</v>
      </c>
    </row>
    <row r="430" spans="1:12" outlineLevel="1" x14ac:dyDescent="0.2">
      <c r="A430" s="76"/>
    </row>
    <row r="431" spans="1:12" x14ac:dyDescent="0.2">
      <c r="A431" s="76">
        <v>269</v>
      </c>
      <c r="B431" s="39" t="s">
        <v>130</v>
      </c>
      <c r="C431" s="39" t="s">
        <v>138</v>
      </c>
      <c r="D431" s="39" t="s">
        <v>141</v>
      </c>
      <c r="E431" s="153" t="s">
        <v>200</v>
      </c>
    </row>
    <row r="432" spans="1:12" outlineLevel="1" x14ac:dyDescent="0.2">
      <c r="A432" s="76"/>
      <c r="B432" s="39" t="s">
        <v>130</v>
      </c>
      <c r="C432" s="39" t="s">
        <v>138</v>
      </c>
      <c r="D432" s="39" t="s">
        <v>141</v>
      </c>
      <c r="E432" s="65" t="s">
        <v>338</v>
      </c>
      <c r="F432" s="66">
        <v>0.44500000000000001</v>
      </c>
      <c r="G432" s="67">
        <v>0.48099999999999998</v>
      </c>
      <c r="H432" s="68">
        <v>0.50700000000000001</v>
      </c>
      <c r="I432" s="69">
        <v>0.52100000000000002</v>
      </c>
      <c r="J432" s="68">
        <v>0.53600000000000003</v>
      </c>
      <c r="K432" s="67">
        <v>0.57000000000000006</v>
      </c>
      <c r="L432" s="66">
        <v>0.60799999999999998</v>
      </c>
    </row>
    <row r="433" spans="1:12" outlineLevel="1" x14ac:dyDescent="0.2">
      <c r="A433" s="76"/>
      <c r="B433" s="39" t="s">
        <v>130</v>
      </c>
      <c r="C433" s="39" t="s">
        <v>138</v>
      </c>
      <c r="D433" s="39" t="s">
        <v>141</v>
      </c>
      <c r="E433" s="65" t="s">
        <v>339</v>
      </c>
      <c r="F433" s="66">
        <v>0.45800000000000002</v>
      </c>
      <c r="G433" s="67">
        <v>0.49299999999999999</v>
      </c>
      <c r="H433" s="68">
        <v>0.52</v>
      </c>
      <c r="I433" s="69">
        <v>0.53400000000000003</v>
      </c>
      <c r="J433" s="68">
        <v>0.54800000000000004</v>
      </c>
      <c r="K433" s="67">
        <v>0.58199999999999996</v>
      </c>
      <c r="L433" s="66">
        <v>0.62</v>
      </c>
    </row>
    <row r="434" spans="1:12" outlineLevel="1" x14ac:dyDescent="0.2">
      <c r="A434" s="76"/>
      <c r="B434" s="39" t="s">
        <v>130</v>
      </c>
      <c r="C434" s="39" t="s">
        <v>138</v>
      </c>
      <c r="D434" s="39" t="s">
        <v>141</v>
      </c>
      <c r="E434" s="65" t="s">
        <v>351</v>
      </c>
      <c r="F434" s="66">
        <v>0.47000000000000003</v>
      </c>
      <c r="G434" s="67">
        <v>0.50600000000000001</v>
      </c>
      <c r="H434" s="68">
        <v>0.53200000000000003</v>
      </c>
      <c r="I434" s="69">
        <v>0.54600000000000004</v>
      </c>
      <c r="J434" s="68">
        <v>0.56000000000000005</v>
      </c>
      <c r="K434" s="67">
        <v>0.59399999999999997</v>
      </c>
      <c r="L434" s="66">
        <v>0.63200000000000001</v>
      </c>
    </row>
    <row r="435" spans="1:12" outlineLevel="1" x14ac:dyDescent="0.2">
      <c r="A435" s="76"/>
      <c r="B435" s="39" t="s">
        <v>130</v>
      </c>
      <c r="C435" s="39" t="s">
        <v>138</v>
      </c>
      <c r="D435" s="39" t="s">
        <v>141</v>
      </c>
      <c r="E435" s="65" t="s">
        <v>352</v>
      </c>
      <c r="F435" s="66">
        <v>0.47300000000000003</v>
      </c>
      <c r="G435" s="67">
        <v>0.50900000000000001</v>
      </c>
      <c r="H435" s="68">
        <v>0.53500000000000003</v>
      </c>
      <c r="I435" s="69">
        <v>0.54900000000000004</v>
      </c>
      <c r="J435" s="68">
        <v>0.56400000000000006</v>
      </c>
      <c r="K435" s="67">
        <v>0.59699999999999998</v>
      </c>
      <c r="L435" s="66">
        <v>0.63500000000000001</v>
      </c>
    </row>
    <row r="436" spans="1:12" outlineLevel="1" x14ac:dyDescent="0.2">
      <c r="A436" s="76"/>
      <c r="B436" s="39" t="s">
        <v>130</v>
      </c>
      <c r="C436" s="39" t="s">
        <v>138</v>
      </c>
      <c r="D436" s="39" t="s">
        <v>141</v>
      </c>
      <c r="E436" s="65" t="s">
        <v>104</v>
      </c>
      <c r="F436" s="69"/>
      <c r="G436" s="69"/>
      <c r="H436" s="68">
        <v>1.4999999999999999E-2</v>
      </c>
      <c r="I436" s="69">
        <v>1.8000000000000002E-2</v>
      </c>
      <c r="J436" s="68">
        <v>2.3E-2</v>
      </c>
      <c r="K436" s="67">
        <v>3.6000000000000004E-2</v>
      </c>
      <c r="L436" s="66">
        <v>4.5999999999999999E-2</v>
      </c>
    </row>
    <row r="437" spans="1:12" outlineLevel="1" x14ac:dyDescent="0.2">
      <c r="A437" s="76"/>
      <c r="B437" s="39" t="s">
        <v>130</v>
      </c>
      <c r="C437" s="39" t="s">
        <v>138</v>
      </c>
      <c r="D437" s="39" t="s">
        <v>141</v>
      </c>
      <c r="E437" s="65" t="s">
        <v>105</v>
      </c>
      <c r="F437" s="69"/>
      <c r="G437" s="69"/>
      <c r="H437" s="68">
        <v>9.4E-2</v>
      </c>
      <c r="I437" s="69">
        <v>0.10200000000000001</v>
      </c>
      <c r="J437" s="68">
        <v>0.112</v>
      </c>
      <c r="K437" s="67">
        <v>0.13200000000000001</v>
      </c>
      <c r="L437" s="66">
        <v>0.15</v>
      </c>
    </row>
    <row r="438" spans="1:12" outlineLevel="1" x14ac:dyDescent="0.2">
      <c r="A438" s="76"/>
      <c r="B438" s="39" t="s">
        <v>130</v>
      </c>
      <c r="C438" s="39" t="s">
        <v>138</v>
      </c>
      <c r="D438" s="39" t="s">
        <v>141</v>
      </c>
      <c r="E438" s="65" t="s">
        <v>106</v>
      </c>
      <c r="F438" s="69"/>
      <c r="G438" s="69"/>
      <c r="H438" s="69"/>
      <c r="I438" s="69">
        <v>6.5000000000000002E-2</v>
      </c>
      <c r="J438" s="69"/>
      <c r="K438" s="67">
        <v>0.10200000000000001</v>
      </c>
      <c r="L438" s="66">
        <v>0.123</v>
      </c>
    </row>
    <row r="439" spans="1:12" outlineLevel="1" x14ac:dyDescent="0.2">
      <c r="A439" s="76"/>
      <c r="B439" s="39" t="s">
        <v>130</v>
      </c>
      <c r="C439" s="39" t="s">
        <v>138</v>
      </c>
      <c r="D439" s="39" t="s">
        <v>141</v>
      </c>
      <c r="E439" s="65" t="s">
        <v>107</v>
      </c>
      <c r="F439" s="69"/>
      <c r="G439" s="69"/>
      <c r="H439" s="69"/>
      <c r="I439" s="69">
        <v>1.9E-2</v>
      </c>
      <c r="J439" s="69"/>
      <c r="K439" s="67">
        <v>0.03</v>
      </c>
      <c r="L439" s="66">
        <v>5.1000000000000004E-2</v>
      </c>
    </row>
    <row r="440" spans="1:12" outlineLevel="1" x14ac:dyDescent="0.2">
      <c r="A440" s="76"/>
      <c r="B440" s="39" t="s">
        <v>130</v>
      </c>
      <c r="C440" s="39" t="s">
        <v>138</v>
      </c>
      <c r="D440" s="39" t="s">
        <v>141</v>
      </c>
      <c r="E440" s="65" t="s">
        <v>108</v>
      </c>
      <c r="F440" s="69"/>
      <c r="G440" s="69"/>
      <c r="H440" s="69"/>
      <c r="I440" s="69">
        <v>6.2E-2</v>
      </c>
      <c r="J440" s="69"/>
      <c r="K440" s="67">
        <v>0.11</v>
      </c>
      <c r="L440" s="66">
        <v>0.157</v>
      </c>
    </row>
    <row r="441" spans="1:12" outlineLevel="1" x14ac:dyDescent="0.2">
      <c r="A441" s="76"/>
      <c r="B441" s="39" t="s">
        <v>130</v>
      </c>
      <c r="C441" s="39" t="s">
        <v>138</v>
      </c>
      <c r="D441" s="39" t="s">
        <v>141</v>
      </c>
      <c r="E441" s="65" t="s">
        <v>109</v>
      </c>
      <c r="F441" s="66">
        <v>3.7999999999999999E-2</v>
      </c>
      <c r="G441" s="67">
        <v>4.3999999999999997E-2</v>
      </c>
      <c r="H441" s="68">
        <v>5.2999999999999999E-2</v>
      </c>
      <c r="I441" s="69">
        <v>5.9000000000000004E-2</v>
      </c>
      <c r="J441" s="68">
        <v>6.5000000000000002E-2</v>
      </c>
      <c r="K441" s="69"/>
      <c r="L441" s="69"/>
    </row>
    <row r="442" spans="1:12" outlineLevel="1" x14ac:dyDescent="0.2">
      <c r="A442" s="76"/>
      <c r="B442" s="39" t="s">
        <v>130</v>
      </c>
      <c r="C442" s="39" t="s">
        <v>138</v>
      </c>
      <c r="D442" s="39" t="s">
        <v>141</v>
      </c>
      <c r="E442" s="70" t="s">
        <v>110</v>
      </c>
      <c r="F442" s="69"/>
      <c r="G442" s="69"/>
      <c r="H442" s="69"/>
      <c r="I442" s="69">
        <v>1.6E-2</v>
      </c>
      <c r="J442" s="69"/>
      <c r="K442" s="67">
        <v>2.1999999999999999E-2</v>
      </c>
      <c r="L442" s="66">
        <v>2.5000000000000001E-2</v>
      </c>
    </row>
    <row r="443" spans="1:12" outlineLevel="1" x14ac:dyDescent="0.2">
      <c r="A443" s="76"/>
      <c r="B443" s="39" t="s">
        <v>130</v>
      </c>
      <c r="C443" s="39" t="s">
        <v>138</v>
      </c>
      <c r="D443" s="39" t="s">
        <v>141</v>
      </c>
      <c r="E443" s="65" t="s">
        <v>34</v>
      </c>
      <c r="F443" s="69"/>
      <c r="G443" s="69"/>
      <c r="H443" s="68">
        <v>6.3E-2</v>
      </c>
      <c r="I443" s="69">
        <v>6.9000000000000006E-2</v>
      </c>
      <c r="J443" s="68">
        <v>7.5999999999999998E-2</v>
      </c>
      <c r="K443" s="67">
        <v>8.8999999999999996E-2</v>
      </c>
      <c r="L443" s="66">
        <v>0.10400000000000001</v>
      </c>
    </row>
    <row r="444" spans="1:12" outlineLevel="1" x14ac:dyDescent="0.2">
      <c r="A444" s="76"/>
      <c r="B444" s="39" t="s">
        <v>130</v>
      </c>
      <c r="C444" s="39" t="s">
        <v>138</v>
      </c>
      <c r="D444" s="39" t="s">
        <v>141</v>
      </c>
      <c r="E444" s="65" t="s">
        <v>4</v>
      </c>
      <c r="F444" s="71">
        <v>13.200000000000001</v>
      </c>
      <c r="G444" s="72">
        <v>13.600000000000001</v>
      </c>
      <c r="H444" s="73">
        <v>14.700000000000001</v>
      </c>
      <c r="I444" s="74">
        <v>15.200000000000001</v>
      </c>
      <c r="J444" s="73">
        <v>15.600000000000001</v>
      </c>
      <c r="K444" s="72">
        <v>16.8</v>
      </c>
      <c r="L444" s="71">
        <v>17.7</v>
      </c>
    </row>
    <row r="445" spans="1:12" outlineLevel="1" x14ac:dyDescent="0.2">
      <c r="A445" s="76"/>
      <c r="B445" s="39" t="s">
        <v>130</v>
      </c>
      <c r="C445" s="39" t="s">
        <v>138</v>
      </c>
      <c r="D445" s="39" t="s">
        <v>141</v>
      </c>
      <c r="E445" s="65" t="s">
        <v>14</v>
      </c>
      <c r="F445" s="71">
        <v>7.5</v>
      </c>
      <c r="G445" s="72">
        <v>8</v>
      </c>
      <c r="H445" s="73">
        <v>8.7000000000000011</v>
      </c>
      <c r="I445" s="74">
        <v>9</v>
      </c>
      <c r="J445" s="73">
        <v>9.3000000000000007</v>
      </c>
      <c r="K445" s="72">
        <v>10.100000000000001</v>
      </c>
      <c r="L445" s="71">
        <v>10.700000000000001</v>
      </c>
    </row>
    <row r="446" spans="1:12" outlineLevel="1" x14ac:dyDescent="0.2">
      <c r="A446" s="76"/>
      <c r="B446" s="39" t="s">
        <v>130</v>
      </c>
      <c r="C446" s="39" t="s">
        <v>138</v>
      </c>
      <c r="D446" s="39" t="s">
        <v>141</v>
      </c>
      <c r="E446" s="65" t="s">
        <v>0</v>
      </c>
      <c r="F446" s="71">
        <v>18.3</v>
      </c>
      <c r="G446" s="72">
        <v>19.200000000000003</v>
      </c>
      <c r="H446" s="73">
        <v>20.3</v>
      </c>
      <c r="I446" s="74">
        <v>20.8</v>
      </c>
      <c r="J446" s="73">
        <v>21.200000000000003</v>
      </c>
      <c r="K446" s="72">
        <v>22.400000000000002</v>
      </c>
      <c r="L446" s="71">
        <v>23.1</v>
      </c>
    </row>
    <row r="447" spans="1:12" outlineLevel="1" x14ac:dyDescent="0.2">
      <c r="A447" s="76"/>
    </row>
    <row r="448" spans="1:12" x14ac:dyDescent="0.2">
      <c r="A448" s="76">
        <v>64</v>
      </c>
      <c r="B448" s="39" t="s">
        <v>130</v>
      </c>
      <c r="C448" s="39" t="s">
        <v>139</v>
      </c>
      <c r="D448" s="39" t="s">
        <v>141</v>
      </c>
      <c r="E448" s="153" t="s">
        <v>201</v>
      </c>
    </row>
    <row r="449" spans="1:12" outlineLevel="1" x14ac:dyDescent="0.2">
      <c r="A449" s="76"/>
      <c r="B449" s="39" t="s">
        <v>130</v>
      </c>
      <c r="C449" s="39" t="s">
        <v>139</v>
      </c>
      <c r="D449" s="39" t="s">
        <v>141</v>
      </c>
      <c r="E449" s="65" t="s">
        <v>338</v>
      </c>
      <c r="F449" s="66">
        <v>0.45400000000000001</v>
      </c>
      <c r="G449" s="67">
        <v>0.46700000000000003</v>
      </c>
      <c r="H449" s="68">
        <v>0.51100000000000001</v>
      </c>
      <c r="I449" s="69">
        <v>0.53200000000000003</v>
      </c>
      <c r="J449" s="68">
        <v>0.54300000000000004</v>
      </c>
      <c r="K449" s="67">
        <v>0.57300000000000006</v>
      </c>
      <c r="L449" s="66">
        <v>0.59799999999999998</v>
      </c>
    </row>
    <row r="450" spans="1:12" outlineLevel="1" x14ac:dyDescent="0.2">
      <c r="A450" s="76"/>
      <c r="B450" s="39" t="s">
        <v>130</v>
      </c>
      <c r="C450" s="39" t="s">
        <v>139</v>
      </c>
      <c r="D450" s="39" t="s">
        <v>141</v>
      </c>
      <c r="E450" s="65" t="s">
        <v>339</v>
      </c>
      <c r="F450" s="66">
        <v>0.46700000000000003</v>
      </c>
      <c r="G450" s="67">
        <v>0.48</v>
      </c>
      <c r="H450" s="68">
        <v>0.52300000000000002</v>
      </c>
      <c r="I450" s="69">
        <v>0.54500000000000004</v>
      </c>
      <c r="J450" s="68">
        <v>0.55500000000000005</v>
      </c>
      <c r="K450" s="67">
        <v>0.58499999999999996</v>
      </c>
      <c r="L450" s="66">
        <v>0.60899999999999999</v>
      </c>
    </row>
    <row r="451" spans="1:12" outlineLevel="1" x14ac:dyDescent="0.2">
      <c r="A451" s="76"/>
      <c r="B451" s="39" t="s">
        <v>130</v>
      </c>
      <c r="C451" s="39" t="s">
        <v>139</v>
      </c>
      <c r="D451" s="39" t="s">
        <v>141</v>
      </c>
      <c r="E451" s="65" t="s">
        <v>351</v>
      </c>
      <c r="F451" s="66">
        <v>0.47900000000000004</v>
      </c>
      <c r="G451" s="67">
        <v>0.49199999999999999</v>
      </c>
      <c r="H451" s="68">
        <v>0.53600000000000003</v>
      </c>
      <c r="I451" s="69">
        <v>0.55700000000000005</v>
      </c>
      <c r="J451" s="68">
        <v>0.56700000000000006</v>
      </c>
      <c r="K451" s="67">
        <v>0.59699999999999998</v>
      </c>
      <c r="L451" s="66">
        <v>0.621</v>
      </c>
    </row>
    <row r="452" spans="1:12" outlineLevel="1" x14ac:dyDescent="0.2">
      <c r="A452" s="76"/>
      <c r="B452" s="39" t="s">
        <v>130</v>
      </c>
      <c r="C452" s="39" t="s">
        <v>139</v>
      </c>
      <c r="D452" s="39" t="s">
        <v>141</v>
      </c>
      <c r="E452" s="65" t="s">
        <v>352</v>
      </c>
      <c r="F452" s="66">
        <v>0.48199999999999998</v>
      </c>
      <c r="G452" s="67">
        <v>0.495</v>
      </c>
      <c r="H452" s="68">
        <v>0.53900000000000003</v>
      </c>
      <c r="I452" s="69">
        <v>0.56000000000000005</v>
      </c>
      <c r="J452" s="68">
        <v>0.57000000000000006</v>
      </c>
      <c r="K452" s="67">
        <v>0.6</v>
      </c>
      <c r="L452" s="66">
        <v>0.624</v>
      </c>
    </row>
    <row r="453" spans="1:12" outlineLevel="1" x14ac:dyDescent="0.2">
      <c r="A453" s="76"/>
      <c r="B453" s="39" t="s">
        <v>130</v>
      </c>
      <c r="C453" s="39" t="s">
        <v>139</v>
      </c>
      <c r="D453" s="39" t="s">
        <v>141</v>
      </c>
      <c r="E453" s="65" t="s">
        <v>104</v>
      </c>
      <c r="F453" s="69"/>
      <c r="G453" s="69"/>
      <c r="H453" s="68">
        <v>1.4999999999999999E-2</v>
      </c>
      <c r="I453" s="69">
        <v>1.8000000000000002E-2</v>
      </c>
      <c r="J453" s="68">
        <v>2.3E-2</v>
      </c>
      <c r="K453" s="67">
        <v>3.5000000000000003E-2</v>
      </c>
      <c r="L453" s="66">
        <v>4.1000000000000002E-2</v>
      </c>
    </row>
    <row r="454" spans="1:12" outlineLevel="1" x14ac:dyDescent="0.2">
      <c r="A454" s="76"/>
      <c r="B454" s="39" t="s">
        <v>130</v>
      </c>
      <c r="C454" s="39" t="s">
        <v>139</v>
      </c>
      <c r="D454" s="39" t="s">
        <v>141</v>
      </c>
      <c r="E454" s="65" t="s">
        <v>105</v>
      </c>
      <c r="F454" s="69"/>
      <c r="G454" s="69"/>
      <c r="H454" s="68">
        <v>0.10300000000000001</v>
      </c>
      <c r="I454" s="69">
        <v>0.109</v>
      </c>
      <c r="J454" s="68">
        <v>0.115</v>
      </c>
      <c r="K454" s="67">
        <v>0.14100000000000001</v>
      </c>
      <c r="L454" s="66">
        <v>0.16</v>
      </c>
    </row>
    <row r="455" spans="1:12" outlineLevel="1" x14ac:dyDescent="0.2">
      <c r="A455" s="76"/>
      <c r="B455" s="39" t="s">
        <v>130</v>
      </c>
      <c r="C455" s="39" t="s">
        <v>139</v>
      </c>
      <c r="D455" s="39" t="s">
        <v>141</v>
      </c>
      <c r="E455" s="65" t="s">
        <v>106</v>
      </c>
      <c r="F455" s="69"/>
      <c r="G455" s="69"/>
      <c r="H455" s="69"/>
      <c r="I455" s="69">
        <v>4.5999999999999999E-2</v>
      </c>
      <c r="J455" s="69"/>
      <c r="K455" s="67">
        <v>9.2999999999999999E-2</v>
      </c>
      <c r="L455" s="66">
        <v>0.107</v>
      </c>
    </row>
    <row r="456" spans="1:12" outlineLevel="1" x14ac:dyDescent="0.2">
      <c r="A456" s="76"/>
      <c r="B456" s="39" t="s">
        <v>130</v>
      </c>
      <c r="C456" s="39" t="s">
        <v>139</v>
      </c>
      <c r="D456" s="39" t="s">
        <v>141</v>
      </c>
      <c r="E456" s="65" t="s">
        <v>107</v>
      </c>
      <c r="F456" s="69"/>
      <c r="G456" s="69"/>
      <c r="H456" s="69"/>
      <c r="I456" s="69">
        <v>1.7000000000000001E-2</v>
      </c>
      <c r="J456" s="69"/>
      <c r="K456" s="67">
        <v>0.03</v>
      </c>
      <c r="L456" s="66">
        <v>4.7E-2</v>
      </c>
    </row>
    <row r="457" spans="1:12" outlineLevel="1" x14ac:dyDescent="0.2">
      <c r="A457" s="76"/>
      <c r="B457" s="39" t="s">
        <v>130</v>
      </c>
      <c r="C457" s="39" t="s">
        <v>139</v>
      </c>
      <c r="D457" s="39" t="s">
        <v>141</v>
      </c>
      <c r="E457" s="65" t="s">
        <v>108</v>
      </c>
      <c r="F457" s="69"/>
      <c r="G457" s="69"/>
      <c r="H457" s="69"/>
      <c r="I457" s="69">
        <v>0.08</v>
      </c>
      <c r="J457" s="69"/>
      <c r="K457" s="67">
        <v>0.14100000000000001</v>
      </c>
      <c r="L457" s="66">
        <v>0.17899999999999999</v>
      </c>
    </row>
    <row r="458" spans="1:12" outlineLevel="1" x14ac:dyDescent="0.2">
      <c r="A458" s="76"/>
      <c r="B458" s="39" t="s">
        <v>130</v>
      </c>
      <c r="C458" s="39" t="s">
        <v>139</v>
      </c>
      <c r="D458" s="39" t="s">
        <v>141</v>
      </c>
      <c r="E458" s="65" t="s">
        <v>109</v>
      </c>
      <c r="F458" s="66">
        <v>4.1000000000000002E-2</v>
      </c>
      <c r="G458" s="67">
        <v>4.7E-2</v>
      </c>
      <c r="H458" s="68">
        <v>5.5E-2</v>
      </c>
      <c r="I458" s="69">
        <v>6.2E-2</v>
      </c>
      <c r="J458" s="68">
        <v>6.9000000000000006E-2</v>
      </c>
      <c r="K458" s="69"/>
      <c r="L458" s="69"/>
    </row>
    <row r="459" spans="1:12" outlineLevel="1" x14ac:dyDescent="0.2">
      <c r="A459" s="76"/>
      <c r="B459" s="39" t="s">
        <v>130</v>
      </c>
      <c r="C459" s="39" t="s">
        <v>139</v>
      </c>
      <c r="D459" s="39" t="s">
        <v>141</v>
      </c>
      <c r="E459" s="70" t="s">
        <v>110</v>
      </c>
      <c r="F459" s="69"/>
      <c r="G459" s="69"/>
      <c r="H459" s="69"/>
      <c r="I459" s="69">
        <v>1.4999999999999999E-2</v>
      </c>
      <c r="J459" s="69"/>
      <c r="K459" s="67">
        <v>1.9E-2</v>
      </c>
      <c r="L459" s="66">
        <v>2.1999999999999999E-2</v>
      </c>
    </row>
    <row r="460" spans="1:12" outlineLevel="1" x14ac:dyDescent="0.2">
      <c r="A460" s="76"/>
      <c r="B460" s="39" t="s">
        <v>130</v>
      </c>
      <c r="C460" s="39" t="s">
        <v>139</v>
      </c>
      <c r="D460" s="39" t="s">
        <v>141</v>
      </c>
      <c r="E460" s="65" t="s">
        <v>34</v>
      </c>
      <c r="F460" s="69"/>
      <c r="G460" s="69"/>
      <c r="H460" s="68">
        <v>0.05</v>
      </c>
      <c r="I460" s="69">
        <v>5.6000000000000001E-2</v>
      </c>
      <c r="J460" s="68">
        <v>6.2E-2</v>
      </c>
      <c r="K460" s="67">
        <v>7.6999999999999999E-2</v>
      </c>
      <c r="L460" s="66">
        <v>8.8999999999999996E-2</v>
      </c>
    </row>
    <row r="461" spans="1:12" outlineLevel="1" x14ac:dyDescent="0.2">
      <c r="A461" s="76"/>
      <c r="B461" s="39" t="s">
        <v>130</v>
      </c>
      <c r="C461" s="39" t="s">
        <v>139</v>
      </c>
      <c r="D461" s="39" t="s">
        <v>141</v>
      </c>
      <c r="E461" s="65" t="s">
        <v>4</v>
      </c>
      <c r="F461" s="71">
        <v>13.600000000000001</v>
      </c>
      <c r="G461" s="72">
        <v>14.200000000000001</v>
      </c>
      <c r="H461" s="73">
        <v>14.9</v>
      </c>
      <c r="I461" s="74">
        <v>15.4</v>
      </c>
      <c r="J461" s="73">
        <v>15.600000000000001</v>
      </c>
      <c r="K461" s="72">
        <v>16.5</v>
      </c>
      <c r="L461" s="71">
        <v>17.8</v>
      </c>
    </row>
    <row r="462" spans="1:12" outlineLevel="1" x14ac:dyDescent="0.2">
      <c r="A462" s="76"/>
      <c r="B462" s="39" t="s">
        <v>130</v>
      </c>
      <c r="C462" s="39" t="s">
        <v>139</v>
      </c>
      <c r="D462" s="39" t="s">
        <v>141</v>
      </c>
      <c r="E462" s="65" t="s">
        <v>14</v>
      </c>
      <c r="F462" s="71">
        <v>7.6000000000000005</v>
      </c>
      <c r="G462" s="72">
        <v>8.1</v>
      </c>
      <c r="H462" s="73">
        <v>9</v>
      </c>
      <c r="I462" s="74">
        <v>9.3000000000000007</v>
      </c>
      <c r="J462" s="73">
        <v>9.6000000000000014</v>
      </c>
      <c r="K462" s="72">
        <v>10.3</v>
      </c>
      <c r="L462" s="71">
        <v>10.700000000000001</v>
      </c>
    </row>
    <row r="463" spans="1:12" outlineLevel="1" x14ac:dyDescent="0.2">
      <c r="A463" s="76"/>
      <c r="B463" s="39" t="s">
        <v>130</v>
      </c>
      <c r="C463" s="39" t="s">
        <v>139</v>
      </c>
      <c r="D463" s="39" t="s">
        <v>141</v>
      </c>
      <c r="E463" s="65" t="s">
        <v>0</v>
      </c>
      <c r="F463" s="71">
        <v>18.400000000000002</v>
      </c>
      <c r="G463" s="72">
        <v>19.200000000000003</v>
      </c>
      <c r="H463" s="73">
        <v>20.5</v>
      </c>
      <c r="I463" s="74">
        <v>20.900000000000002</v>
      </c>
      <c r="J463" s="73">
        <v>21.200000000000003</v>
      </c>
      <c r="K463" s="72">
        <v>22.200000000000003</v>
      </c>
      <c r="L463" s="71">
        <v>23.6</v>
      </c>
    </row>
    <row r="464" spans="1:12" outlineLevel="1" x14ac:dyDescent="0.2">
      <c r="A464" s="76"/>
    </row>
    <row r="465" spans="1:12" x14ac:dyDescent="0.2">
      <c r="A465" s="76">
        <v>51</v>
      </c>
      <c r="B465" s="39" t="s">
        <v>131</v>
      </c>
      <c r="C465" s="39" t="s">
        <v>137</v>
      </c>
      <c r="D465" s="39" t="s">
        <v>141</v>
      </c>
      <c r="E465" s="153" t="s">
        <v>202</v>
      </c>
    </row>
    <row r="466" spans="1:12" outlineLevel="1" x14ac:dyDescent="0.2">
      <c r="A466" s="76"/>
      <c r="B466" s="39" t="s">
        <v>131</v>
      </c>
      <c r="C466" s="39" t="s">
        <v>137</v>
      </c>
      <c r="D466" s="39" t="s">
        <v>141</v>
      </c>
      <c r="E466" s="65" t="s">
        <v>338</v>
      </c>
      <c r="F466" s="66">
        <v>0.41100000000000003</v>
      </c>
      <c r="G466" s="67">
        <v>0.442</v>
      </c>
      <c r="H466" s="68">
        <v>0.47100000000000003</v>
      </c>
      <c r="I466" s="69">
        <v>0.48699999999999999</v>
      </c>
      <c r="J466" s="68">
        <v>0.503</v>
      </c>
      <c r="K466" s="67">
        <v>0.53500000000000003</v>
      </c>
      <c r="L466" s="66">
        <v>0.55900000000000005</v>
      </c>
    </row>
    <row r="467" spans="1:12" outlineLevel="1" x14ac:dyDescent="0.2">
      <c r="A467" s="76"/>
      <c r="B467" s="39" t="s">
        <v>131</v>
      </c>
      <c r="C467" s="39" t="s">
        <v>137</v>
      </c>
      <c r="D467" s="39" t="s">
        <v>141</v>
      </c>
      <c r="E467" s="65" t="s">
        <v>339</v>
      </c>
      <c r="F467" s="66">
        <v>0.42299999999999999</v>
      </c>
      <c r="G467" s="67">
        <v>0.45400000000000001</v>
      </c>
      <c r="H467" s="68">
        <v>0.48299999999999998</v>
      </c>
      <c r="I467" s="69">
        <v>0.5</v>
      </c>
      <c r="J467" s="68">
        <v>0.51500000000000001</v>
      </c>
      <c r="K467" s="67">
        <v>0.54700000000000004</v>
      </c>
      <c r="L467" s="66">
        <v>0.57100000000000006</v>
      </c>
    </row>
    <row r="468" spans="1:12" outlineLevel="1" x14ac:dyDescent="0.2">
      <c r="A468" s="76"/>
      <c r="B468" s="39" t="s">
        <v>131</v>
      </c>
      <c r="C468" s="39" t="s">
        <v>137</v>
      </c>
      <c r="D468" s="39" t="s">
        <v>141</v>
      </c>
      <c r="E468" s="65" t="s">
        <v>351</v>
      </c>
      <c r="F468" s="66">
        <v>0.435</v>
      </c>
      <c r="G468" s="67">
        <v>0.46700000000000003</v>
      </c>
      <c r="H468" s="68">
        <v>0.496</v>
      </c>
      <c r="I468" s="69">
        <v>0.51200000000000001</v>
      </c>
      <c r="J468" s="68">
        <v>0.52800000000000002</v>
      </c>
      <c r="K468" s="67">
        <v>0.55900000000000005</v>
      </c>
      <c r="L468" s="66">
        <v>0.58399999999999996</v>
      </c>
    </row>
    <row r="469" spans="1:12" outlineLevel="1" x14ac:dyDescent="0.2">
      <c r="A469" s="76"/>
      <c r="B469" s="39" t="s">
        <v>131</v>
      </c>
      <c r="C469" s="39" t="s">
        <v>137</v>
      </c>
      <c r="D469" s="39" t="s">
        <v>141</v>
      </c>
      <c r="E469" s="65" t="s">
        <v>352</v>
      </c>
      <c r="F469" s="66">
        <v>0.438</v>
      </c>
      <c r="G469" s="67">
        <v>0.47000000000000003</v>
      </c>
      <c r="H469" s="68">
        <v>0.499</v>
      </c>
      <c r="I469" s="69">
        <v>0.51600000000000001</v>
      </c>
      <c r="J469" s="68">
        <v>0.53100000000000003</v>
      </c>
      <c r="K469" s="67">
        <v>0.56300000000000006</v>
      </c>
      <c r="L469" s="66">
        <v>0.58699999999999997</v>
      </c>
    </row>
    <row r="470" spans="1:12" outlineLevel="1" x14ac:dyDescent="0.2">
      <c r="A470" s="76"/>
      <c r="B470" s="39" t="s">
        <v>131</v>
      </c>
      <c r="C470" s="39" t="s">
        <v>137</v>
      </c>
      <c r="D470" s="39" t="s">
        <v>141</v>
      </c>
      <c r="E470" s="65" t="s">
        <v>104</v>
      </c>
      <c r="F470" s="69"/>
      <c r="G470" s="69"/>
      <c r="H470" s="68">
        <v>1.6E-2</v>
      </c>
      <c r="I470" s="69">
        <v>0.02</v>
      </c>
      <c r="J470" s="68">
        <v>2.9000000000000001E-2</v>
      </c>
      <c r="K470" s="67">
        <v>4.1000000000000002E-2</v>
      </c>
      <c r="L470" s="66">
        <v>5.6000000000000001E-2</v>
      </c>
    </row>
    <row r="471" spans="1:12" outlineLevel="1" x14ac:dyDescent="0.2">
      <c r="A471" s="76"/>
      <c r="B471" s="39" t="s">
        <v>131</v>
      </c>
      <c r="C471" s="39" t="s">
        <v>137</v>
      </c>
      <c r="D471" s="39" t="s">
        <v>141</v>
      </c>
      <c r="E471" s="65" t="s">
        <v>105</v>
      </c>
      <c r="F471" s="69"/>
      <c r="G471" s="69"/>
      <c r="H471" s="68">
        <v>0.09</v>
      </c>
      <c r="I471" s="69">
        <v>9.7000000000000003E-2</v>
      </c>
      <c r="J471" s="68">
        <v>0.107</v>
      </c>
      <c r="K471" s="67">
        <v>0.13500000000000001</v>
      </c>
      <c r="L471" s="66">
        <v>0.16</v>
      </c>
    </row>
    <row r="472" spans="1:12" outlineLevel="1" x14ac:dyDescent="0.2">
      <c r="A472" s="76"/>
      <c r="B472" s="39" t="s">
        <v>131</v>
      </c>
      <c r="C472" s="39" t="s">
        <v>137</v>
      </c>
      <c r="D472" s="39" t="s">
        <v>141</v>
      </c>
      <c r="E472" s="65" t="s">
        <v>106</v>
      </c>
      <c r="F472" s="69"/>
      <c r="G472" s="69"/>
      <c r="H472" s="69"/>
      <c r="I472" s="69">
        <v>6.3E-2</v>
      </c>
      <c r="J472" s="69"/>
      <c r="K472" s="67">
        <v>0.10400000000000001</v>
      </c>
      <c r="L472" s="66">
        <v>0.11700000000000001</v>
      </c>
    </row>
    <row r="473" spans="1:12" outlineLevel="1" x14ac:dyDescent="0.2">
      <c r="A473" s="76"/>
      <c r="B473" s="39" t="s">
        <v>131</v>
      </c>
      <c r="C473" s="39" t="s">
        <v>137</v>
      </c>
      <c r="D473" s="39" t="s">
        <v>141</v>
      </c>
      <c r="E473" s="65" t="s">
        <v>107</v>
      </c>
      <c r="F473" s="69"/>
      <c r="G473" s="69"/>
      <c r="H473" s="69"/>
      <c r="I473" s="69">
        <v>1.8000000000000002E-2</v>
      </c>
      <c r="J473" s="69"/>
      <c r="K473" s="67">
        <v>3.9E-2</v>
      </c>
      <c r="L473" s="66">
        <v>4.9000000000000002E-2</v>
      </c>
    </row>
    <row r="474" spans="1:12" outlineLevel="1" x14ac:dyDescent="0.2">
      <c r="A474" s="76"/>
      <c r="B474" s="39" t="s">
        <v>131</v>
      </c>
      <c r="C474" s="39" t="s">
        <v>137</v>
      </c>
      <c r="D474" s="39" t="s">
        <v>141</v>
      </c>
      <c r="E474" s="65" t="s">
        <v>108</v>
      </c>
      <c r="F474" s="69"/>
      <c r="G474" s="69"/>
      <c r="H474" s="69"/>
      <c r="I474" s="69">
        <v>7.2000000000000008E-2</v>
      </c>
      <c r="J474" s="69"/>
      <c r="K474" s="67">
        <v>0.12</v>
      </c>
      <c r="L474" s="66">
        <v>0.13500000000000001</v>
      </c>
    </row>
    <row r="475" spans="1:12" outlineLevel="1" x14ac:dyDescent="0.2">
      <c r="A475" s="76"/>
      <c r="B475" s="39" t="s">
        <v>131</v>
      </c>
      <c r="C475" s="39" t="s">
        <v>137</v>
      </c>
      <c r="D475" s="39" t="s">
        <v>141</v>
      </c>
      <c r="E475" s="65" t="s">
        <v>109</v>
      </c>
      <c r="F475" s="66">
        <v>3.2000000000000001E-2</v>
      </c>
      <c r="G475" s="67">
        <v>3.6999999999999998E-2</v>
      </c>
      <c r="H475" s="68">
        <v>0.05</v>
      </c>
      <c r="I475" s="69">
        <v>5.7000000000000002E-2</v>
      </c>
      <c r="J475" s="68">
        <v>6.0999999999999999E-2</v>
      </c>
      <c r="K475" s="69"/>
      <c r="L475" s="69"/>
    </row>
    <row r="476" spans="1:12" outlineLevel="1" x14ac:dyDescent="0.2">
      <c r="A476" s="76"/>
      <c r="B476" s="39" t="s">
        <v>131</v>
      </c>
      <c r="C476" s="39" t="s">
        <v>137</v>
      </c>
      <c r="D476" s="39" t="s">
        <v>141</v>
      </c>
      <c r="E476" s="65" t="s">
        <v>110</v>
      </c>
      <c r="F476" s="69"/>
      <c r="G476" s="69"/>
      <c r="H476" s="69"/>
      <c r="I476" s="69">
        <v>0.02</v>
      </c>
      <c r="J476" s="69"/>
      <c r="K476" s="67">
        <v>2.7E-2</v>
      </c>
      <c r="L476" s="66">
        <v>3.2000000000000001E-2</v>
      </c>
    </row>
    <row r="477" spans="1:12" outlineLevel="1" x14ac:dyDescent="0.2">
      <c r="A477" s="76"/>
      <c r="B477" s="39" t="s">
        <v>131</v>
      </c>
      <c r="C477" s="39" t="s">
        <v>137</v>
      </c>
      <c r="D477" s="39" t="s">
        <v>141</v>
      </c>
      <c r="E477" s="65" t="s">
        <v>34</v>
      </c>
      <c r="F477" s="69"/>
      <c r="G477" s="69"/>
      <c r="H477" s="68">
        <v>7.6999999999999999E-2</v>
      </c>
      <c r="I477" s="69">
        <v>8.7999999999999995E-2</v>
      </c>
      <c r="J477" s="68">
        <v>9.6000000000000002E-2</v>
      </c>
      <c r="K477" s="67">
        <v>0.13200000000000001</v>
      </c>
      <c r="L477" s="66">
        <v>0.16200000000000001</v>
      </c>
    </row>
    <row r="478" spans="1:12" outlineLevel="1" x14ac:dyDescent="0.2">
      <c r="A478" s="76"/>
      <c r="B478" s="39" t="s">
        <v>131</v>
      </c>
      <c r="C478" s="39" t="s">
        <v>137</v>
      </c>
      <c r="D478" s="39" t="s">
        <v>141</v>
      </c>
      <c r="E478" s="65" t="s">
        <v>4</v>
      </c>
      <c r="F478" s="71">
        <v>10.4</v>
      </c>
      <c r="G478" s="72">
        <v>11.5</v>
      </c>
      <c r="H478" s="73">
        <v>13.100000000000001</v>
      </c>
      <c r="I478" s="74">
        <v>13.8</v>
      </c>
      <c r="J478" s="73">
        <v>14.4</v>
      </c>
      <c r="K478" s="72">
        <v>15.700000000000001</v>
      </c>
      <c r="L478" s="71">
        <v>18</v>
      </c>
    </row>
    <row r="479" spans="1:12" outlineLevel="1" x14ac:dyDescent="0.2">
      <c r="A479" s="76"/>
      <c r="B479" s="39" t="s">
        <v>131</v>
      </c>
      <c r="C479" s="39" t="s">
        <v>137</v>
      </c>
      <c r="D479" s="39" t="s">
        <v>141</v>
      </c>
      <c r="E479" s="65" t="s">
        <v>14</v>
      </c>
      <c r="F479" s="71">
        <v>5.8000000000000007</v>
      </c>
      <c r="G479" s="72">
        <v>6.4</v>
      </c>
      <c r="H479" s="73">
        <v>7.3000000000000007</v>
      </c>
      <c r="I479" s="74">
        <v>7.7</v>
      </c>
      <c r="J479" s="73">
        <v>8</v>
      </c>
      <c r="K479" s="72">
        <v>9</v>
      </c>
      <c r="L479" s="71">
        <v>9.8000000000000007</v>
      </c>
    </row>
    <row r="480" spans="1:12" outlineLevel="1" x14ac:dyDescent="0.2">
      <c r="A480" s="76"/>
      <c r="B480" s="39" t="s">
        <v>131</v>
      </c>
      <c r="C480" s="39" t="s">
        <v>137</v>
      </c>
      <c r="D480" s="39" t="s">
        <v>141</v>
      </c>
      <c r="E480" s="65" t="s">
        <v>0</v>
      </c>
      <c r="F480" s="71">
        <v>17.400000000000002</v>
      </c>
      <c r="G480" s="72">
        <v>18.7</v>
      </c>
      <c r="H480" s="73">
        <v>20.8</v>
      </c>
      <c r="I480" s="74">
        <v>21.700000000000003</v>
      </c>
      <c r="J480" s="73">
        <v>22.1</v>
      </c>
      <c r="K480" s="72">
        <v>23.6</v>
      </c>
      <c r="L480" s="71">
        <v>24.6</v>
      </c>
    </row>
    <row r="481" spans="1:12" outlineLevel="1" x14ac:dyDescent="0.2">
      <c r="A481" s="76"/>
    </row>
    <row r="482" spans="1:12" x14ac:dyDescent="0.2">
      <c r="A482" s="76">
        <v>114</v>
      </c>
      <c r="B482" s="39" t="s">
        <v>131</v>
      </c>
      <c r="C482" s="39" t="s">
        <v>138</v>
      </c>
      <c r="D482" s="39" t="s">
        <v>141</v>
      </c>
      <c r="E482" s="153" t="s">
        <v>203</v>
      </c>
    </row>
    <row r="483" spans="1:12" outlineLevel="1" x14ac:dyDescent="0.2">
      <c r="A483" s="76"/>
      <c r="B483" s="39" t="s">
        <v>131</v>
      </c>
      <c r="C483" s="39" t="s">
        <v>138</v>
      </c>
      <c r="D483" s="39" t="s">
        <v>141</v>
      </c>
      <c r="E483" s="65" t="s">
        <v>338</v>
      </c>
      <c r="F483" s="66">
        <v>0.42399999999999999</v>
      </c>
      <c r="G483" s="67">
        <v>0.44800000000000001</v>
      </c>
      <c r="H483" s="68">
        <v>0.48599999999999999</v>
      </c>
      <c r="I483" s="69">
        <v>0.498</v>
      </c>
      <c r="J483" s="68">
        <v>0.51</v>
      </c>
      <c r="K483" s="67">
        <v>0.53400000000000003</v>
      </c>
      <c r="L483" s="66">
        <v>0.56700000000000006</v>
      </c>
    </row>
    <row r="484" spans="1:12" outlineLevel="1" x14ac:dyDescent="0.2">
      <c r="A484" s="76"/>
      <c r="B484" s="39" t="s">
        <v>131</v>
      </c>
      <c r="C484" s="39" t="s">
        <v>138</v>
      </c>
      <c r="D484" s="39" t="s">
        <v>141</v>
      </c>
      <c r="E484" s="65" t="s">
        <v>339</v>
      </c>
      <c r="F484" s="66">
        <v>0.436</v>
      </c>
      <c r="G484" s="67">
        <v>0.46100000000000002</v>
      </c>
      <c r="H484" s="68">
        <v>0.499</v>
      </c>
      <c r="I484" s="69">
        <v>0.51100000000000001</v>
      </c>
      <c r="J484" s="68">
        <v>0.52300000000000002</v>
      </c>
      <c r="K484" s="67">
        <v>0.54700000000000004</v>
      </c>
      <c r="L484" s="66">
        <v>0.57999999999999996</v>
      </c>
    </row>
    <row r="485" spans="1:12" outlineLevel="1" x14ac:dyDescent="0.2">
      <c r="A485" s="76"/>
      <c r="B485" s="39" t="s">
        <v>131</v>
      </c>
      <c r="C485" s="39" t="s">
        <v>138</v>
      </c>
      <c r="D485" s="39" t="s">
        <v>141</v>
      </c>
      <c r="E485" s="65" t="s">
        <v>351</v>
      </c>
      <c r="F485" s="66">
        <v>0.44900000000000001</v>
      </c>
      <c r="G485" s="67">
        <v>0.47300000000000003</v>
      </c>
      <c r="H485" s="68">
        <v>0.51100000000000001</v>
      </c>
      <c r="I485" s="69">
        <v>0.52300000000000002</v>
      </c>
      <c r="J485" s="68">
        <v>0.53500000000000003</v>
      </c>
      <c r="K485" s="67">
        <v>0.55900000000000005</v>
      </c>
      <c r="L485" s="66">
        <v>0.59199999999999997</v>
      </c>
    </row>
    <row r="486" spans="1:12" outlineLevel="1" x14ac:dyDescent="0.2">
      <c r="A486" s="76"/>
      <c r="B486" s="39" t="s">
        <v>131</v>
      </c>
      <c r="C486" s="39" t="s">
        <v>138</v>
      </c>
      <c r="D486" s="39" t="s">
        <v>141</v>
      </c>
      <c r="E486" s="65" t="s">
        <v>352</v>
      </c>
      <c r="F486" s="66">
        <v>0.45200000000000001</v>
      </c>
      <c r="G486" s="67">
        <v>0.47600000000000003</v>
      </c>
      <c r="H486" s="68">
        <v>0.51400000000000001</v>
      </c>
      <c r="I486" s="69">
        <v>0.52600000000000002</v>
      </c>
      <c r="J486" s="68">
        <v>0.53800000000000003</v>
      </c>
      <c r="K486" s="67">
        <v>0.56200000000000006</v>
      </c>
      <c r="L486" s="66">
        <v>0.59499999999999997</v>
      </c>
    </row>
    <row r="487" spans="1:12" outlineLevel="1" x14ac:dyDescent="0.2">
      <c r="A487" s="76"/>
      <c r="B487" s="39" t="s">
        <v>131</v>
      </c>
      <c r="C487" s="39" t="s">
        <v>138</v>
      </c>
      <c r="D487" s="39" t="s">
        <v>141</v>
      </c>
      <c r="E487" s="65" t="s">
        <v>104</v>
      </c>
      <c r="F487" s="69"/>
      <c r="G487" s="69"/>
      <c r="H487" s="68">
        <v>1.4999999999999999E-2</v>
      </c>
      <c r="I487" s="69">
        <v>1.9E-2</v>
      </c>
      <c r="J487" s="68">
        <v>2.1999999999999999E-2</v>
      </c>
      <c r="K487" s="67">
        <v>3.4000000000000002E-2</v>
      </c>
      <c r="L487" s="66">
        <v>4.1000000000000002E-2</v>
      </c>
    </row>
    <row r="488" spans="1:12" outlineLevel="1" x14ac:dyDescent="0.2">
      <c r="A488" s="76"/>
      <c r="B488" s="39" t="s">
        <v>131</v>
      </c>
      <c r="C488" s="39" t="s">
        <v>138</v>
      </c>
      <c r="D488" s="39" t="s">
        <v>141</v>
      </c>
      <c r="E488" s="65" t="s">
        <v>105</v>
      </c>
      <c r="F488" s="69"/>
      <c r="G488" s="69"/>
      <c r="H488" s="68">
        <v>0.10400000000000001</v>
      </c>
      <c r="I488" s="69">
        <v>0.11</v>
      </c>
      <c r="J488" s="68">
        <v>0.12</v>
      </c>
      <c r="K488" s="67">
        <v>0.14000000000000001</v>
      </c>
      <c r="L488" s="66">
        <v>0.157</v>
      </c>
    </row>
    <row r="489" spans="1:12" outlineLevel="1" x14ac:dyDescent="0.2">
      <c r="A489" s="76"/>
      <c r="B489" s="39" t="s">
        <v>131</v>
      </c>
      <c r="C489" s="39" t="s">
        <v>138</v>
      </c>
      <c r="D489" s="39" t="s">
        <v>141</v>
      </c>
      <c r="E489" s="65" t="s">
        <v>106</v>
      </c>
      <c r="F489" s="69"/>
      <c r="G489" s="69"/>
      <c r="H489" s="69"/>
      <c r="I489" s="69">
        <v>6.8000000000000005E-2</v>
      </c>
      <c r="J489" s="69"/>
      <c r="K489" s="67">
        <v>9.4E-2</v>
      </c>
      <c r="L489" s="66">
        <v>0.115</v>
      </c>
    </row>
    <row r="490" spans="1:12" outlineLevel="1" x14ac:dyDescent="0.2">
      <c r="A490" s="76"/>
      <c r="B490" s="39" t="s">
        <v>131</v>
      </c>
      <c r="C490" s="39" t="s">
        <v>138</v>
      </c>
      <c r="D490" s="39" t="s">
        <v>141</v>
      </c>
      <c r="E490" s="65" t="s">
        <v>107</v>
      </c>
      <c r="F490" s="69"/>
      <c r="G490" s="69"/>
      <c r="H490" s="69"/>
      <c r="I490" s="69">
        <v>1.8000000000000002E-2</v>
      </c>
      <c r="J490" s="69"/>
      <c r="K490" s="67">
        <v>3.6000000000000004E-2</v>
      </c>
      <c r="L490" s="66">
        <v>5.8000000000000003E-2</v>
      </c>
    </row>
    <row r="491" spans="1:12" outlineLevel="1" x14ac:dyDescent="0.2">
      <c r="A491" s="76"/>
      <c r="B491" s="39" t="s">
        <v>131</v>
      </c>
      <c r="C491" s="39" t="s">
        <v>138</v>
      </c>
      <c r="D491" s="39" t="s">
        <v>141</v>
      </c>
      <c r="E491" s="65" t="s">
        <v>108</v>
      </c>
      <c r="F491" s="69"/>
      <c r="G491" s="69"/>
      <c r="H491" s="69"/>
      <c r="I491" s="69">
        <v>7.2999999999999995E-2</v>
      </c>
      <c r="J491" s="69"/>
      <c r="K491" s="67">
        <v>0.123</v>
      </c>
      <c r="L491" s="66">
        <v>0.185</v>
      </c>
    </row>
    <row r="492" spans="1:12" outlineLevel="1" x14ac:dyDescent="0.2">
      <c r="A492" s="76"/>
      <c r="B492" s="39" t="s">
        <v>131</v>
      </c>
      <c r="C492" s="39" t="s">
        <v>138</v>
      </c>
      <c r="D492" s="39" t="s">
        <v>141</v>
      </c>
      <c r="E492" s="65" t="s">
        <v>109</v>
      </c>
      <c r="F492" s="66">
        <v>3.9E-2</v>
      </c>
      <c r="G492" s="67">
        <v>4.4999999999999998E-2</v>
      </c>
      <c r="H492" s="68">
        <v>5.9000000000000004E-2</v>
      </c>
      <c r="I492" s="69">
        <v>6.2E-2</v>
      </c>
      <c r="J492" s="68">
        <v>6.8000000000000005E-2</v>
      </c>
      <c r="K492" s="69"/>
      <c r="L492" s="69"/>
    </row>
    <row r="493" spans="1:12" outlineLevel="1" x14ac:dyDescent="0.2">
      <c r="A493" s="76"/>
      <c r="B493" s="39" t="s">
        <v>131</v>
      </c>
      <c r="C493" s="39" t="s">
        <v>138</v>
      </c>
      <c r="D493" s="39" t="s">
        <v>141</v>
      </c>
      <c r="E493" s="65" t="s">
        <v>110</v>
      </c>
      <c r="F493" s="69"/>
      <c r="G493" s="69"/>
      <c r="H493" s="69"/>
      <c r="I493" s="69">
        <v>1.7000000000000001E-2</v>
      </c>
      <c r="J493" s="69"/>
      <c r="K493" s="67">
        <v>2.3E-2</v>
      </c>
      <c r="L493" s="66">
        <v>2.6000000000000002E-2</v>
      </c>
    </row>
    <row r="494" spans="1:12" outlineLevel="1" x14ac:dyDescent="0.2">
      <c r="A494" s="76"/>
      <c r="B494" s="39" t="s">
        <v>131</v>
      </c>
      <c r="C494" s="39" t="s">
        <v>138</v>
      </c>
      <c r="D494" s="39" t="s">
        <v>141</v>
      </c>
      <c r="E494" s="65" t="s">
        <v>34</v>
      </c>
      <c r="F494" s="69"/>
      <c r="G494" s="69"/>
      <c r="H494" s="68">
        <v>6.3E-2</v>
      </c>
      <c r="I494" s="69">
        <v>6.8000000000000005E-2</v>
      </c>
      <c r="J494" s="68">
        <v>7.3999999999999996E-2</v>
      </c>
      <c r="K494" s="67">
        <v>9.0999999999999998E-2</v>
      </c>
      <c r="L494" s="66">
        <v>0.106</v>
      </c>
    </row>
    <row r="495" spans="1:12" outlineLevel="1" x14ac:dyDescent="0.2">
      <c r="A495" s="76"/>
      <c r="B495" s="39" t="s">
        <v>131</v>
      </c>
      <c r="C495" s="39" t="s">
        <v>138</v>
      </c>
      <c r="D495" s="39" t="s">
        <v>141</v>
      </c>
      <c r="E495" s="65" t="s">
        <v>4</v>
      </c>
      <c r="F495" s="71">
        <v>13.4</v>
      </c>
      <c r="G495" s="72">
        <v>14.3</v>
      </c>
      <c r="H495" s="73">
        <v>15.200000000000001</v>
      </c>
      <c r="I495" s="74">
        <v>15.8</v>
      </c>
      <c r="J495" s="73">
        <v>16.3</v>
      </c>
      <c r="K495" s="72">
        <v>17.600000000000001</v>
      </c>
      <c r="L495" s="71">
        <v>18.600000000000001</v>
      </c>
    </row>
    <row r="496" spans="1:12" outlineLevel="1" x14ac:dyDescent="0.2">
      <c r="A496" s="76"/>
      <c r="B496" s="39" t="s">
        <v>131</v>
      </c>
      <c r="C496" s="39" t="s">
        <v>138</v>
      </c>
      <c r="D496" s="39" t="s">
        <v>141</v>
      </c>
      <c r="E496" s="65" t="s">
        <v>14</v>
      </c>
      <c r="F496" s="71">
        <v>7</v>
      </c>
      <c r="G496" s="72">
        <v>7.6000000000000005</v>
      </c>
      <c r="H496" s="73">
        <v>8.5</v>
      </c>
      <c r="I496" s="74">
        <v>8.8000000000000007</v>
      </c>
      <c r="J496" s="73">
        <v>9.1</v>
      </c>
      <c r="K496" s="72">
        <v>9.8000000000000007</v>
      </c>
      <c r="L496" s="71">
        <v>10.4</v>
      </c>
    </row>
    <row r="497" spans="1:12" outlineLevel="1" x14ac:dyDescent="0.2">
      <c r="A497" s="76"/>
      <c r="B497" s="39" t="s">
        <v>131</v>
      </c>
      <c r="C497" s="39" t="s">
        <v>138</v>
      </c>
      <c r="D497" s="39" t="s">
        <v>141</v>
      </c>
      <c r="E497" s="65" t="s">
        <v>0</v>
      </c>
      <c r="F497" s="71">
        <v>19.100000000000001</v>
      </c>
      <c r="G497" s="72">
        <v>20.100000000000001</v>
      </c>
      <c r="H497" s="73">
        <v>21.700000000000003</v>
      </c>
      <c r="I497" s="74">
        <v>22.1</v>
      </c>
      <c r="J497" s="73">
        <v>22.900000000000002</v>
      </c>
      <c r="K497" s="72">
        <v>24.200000000000003</v>
      </c>
      <c r="L497" s="71">
        <v>25</v>
      </c>
    </row>
    <row r="498" spans="1:12" outlineLevel="1" x14ac:dyDescent="0.2">
      <c r="A498" s="76"/>
    </row>
    <row r="499" spans="1:12" x14ac:dyDescent="0.2">
      <c r="A499" s="76">
        <v>31</v>
      </c>
      <c r="B499" s="39" t="s">
        <v>131</v>
      </c>
      <c r="C499" s="39" t="s">
        <v>139</v>
      </c>
      <c r="D499" s="39" t="s">
        <v>141</v>
      </c>
      <c r="E499" s="153" t="s">
        <v>204</v>
      </c>
    </row>
    <row r="500" spans="1:12" outlineLevel="1" x14ac:dyDescent="0.2">
      <c r="B500" s="39" t="s">
        <v>131</v>
      </c>
      <c r="C500" s="39" t="s">
        <v>139</v>
      </c>
      <c r="D500" s="39" t="s">
        <v>141</v>
      </c>
      <c r="E500" s="65" t="s">
        <v>338</v>
      </c>
      <c r="F500" s="66">
        <v>0.42499999999999999</v>
      </c>
      <c r="G500" s="67">
        <v>0.45700000000000002</v>
      </c>
      <c r="H500" s="68">
        <v>0.48499999999999999</v>
      </c>
      <c r="I500" s="69">
        <v>0.48899999999999999</v>
      </c>
      <c r="J500" s="68">
        <v>0.495</v>
      </c>
      <c r="K500" s="67">
        <v>0.52900000000000003</v>
      </c>
      <c r="L500" s="66">
        <v>0.58399999999999996</v>
      </c>
    </row>
    <row r="501" spans="1:12" outlineLevel="1" x14ac:dyDescent="0.2">
      <c r="B501" s="39" t="s">
        <v>131</v>
      </c>
      <c r="C501" s="39" t="s">
        <v>139</v>
      </c>
      <c r="D501" s="39" t="s">
        <v>141</v>
      </c>
      <c r="E501" s="65" t="s">
        <v>339</v>
      </c>
      <c r="F501" s="66">
        <v>0.437</v>
      </c>
      <c r="G501" s="67">
        <v>0.47000000000000003</v>
      </c>
      <c r="H501" s="68">
        <v>0.497</v>
      </c>
      <c r="I501" s="69">
        <v>0.502</v>
      </c>
      <c r="J501" s="68">
        <v>0.50700000000000001</v>
      </c>
      <c r="K501" s="67">
        <v>0.54100000000000004</v>
      </c>
      <c r="L501" s="66">
        <v>0.59599999999999997</v>
      </c>
    </row>
    <row r="502" spans="1:12" outlineLevel="1" x14ac:dyDescent="0.2">
      <c r="B502" s="39" t="s">
        <v>131</v>
      </c>
      <c r="C502" s="39" t="s">
        <v>139</v>
      </c>
      <c r="D502" s="39" t="s">
        <v>141</v>
      </c>
      <c r="E502" s="65" t="s">
        <v>351</v>
      </c>
      <c r="F502" s="66">
        <v>0.45</v>
      </c>
      <c r="G502" s="67">
        <v>0.48199999999999998</v>
      </c>
      <c r="H502" s="68">
        <v>0.51</v>
      </c>
      <c r="I502" s="69">
        <v>0.51400000000000001</v>
      </c>
      <c r="J502" s="68">
        <v>0.52</v>
      </c>
      <c r="K502" s="67">
        <v>0.55400000000000005</v>
      </c>
      <c r="L502" s="66">
        <v>0.60799999999999998</v>
      </c>
    </row>
    <row r="503" spans="1:12" outlineLevel="1" x14ac:dyDescent="0.2">
      <c r="B503" s="39" t="s">
        <v>131</v>
      </c>
      <c r="C503" s="39" t="s">
        <v>139</v>
      </c>
      <c r="D503" s="39" t="s">
        <v>141</v>
      </c>
      <c r="E503" s="65" t="s">
        <v>352</v>
      </c>
      <c r="F503" s="66">
        <v>0.45300000000000001</v>
      </c>
      <c r="G503" s="67">
        <v>0.48499999999999999</v>
      </c>
      <c r="H503" s="68">
        <v>0.51300000000000001</v>
      </c>
      <c r="I503" s="69">
        <v>0.51700000000000002</v>
      </c>
      <c r="J503" s="68">
        <v>0.52300000000000002</v>
      </c>
      <c r="K503" s="67">
        <v>0.55700000000000005</v>
      </c>
      <c r="L503" s="66">
        <v>0.61099999999999999</v>
      </c>
    </row>
    <row r="504" spans="1:12" outlineLevel="1" x14ac:dyDescent="0.2">
      <c r="B504" s="39" t="s">
        <v>131</v>
      </c>
      <c r="C504" s="39" t="s">
        <v>139</v>
      </c>
      <c r="D504" s="39" t="s">
        <v>141</v>
      </c>
      <c r="E504" s="65" t="s">
        <v>104</v>
      </c>
      <c r="F504" s="69"/>
      <c r="G504" s="69"/>
      <c r="H504" s="68">
        <v>1.6E-2</v>
      </c>
      <c r="I504" s="69">
        <v>2.1000000000000001E-2</v>
      </c>
      <c r="J504" s="68">
        <v>2.8000000000000001E-2</v>
      </c>
      <c r="K504" s="67">
        <v>4.2000000000000003E-2</v>
      </c>
      <c r="L504" s="66">
        <v>4.8000000000000001E-2</v>
      </c>
    </row>
    <row r="505" spans="1:12" outlineLevel="1" x14ac:dyDescent="0.2">
      <c r="B505" s="39" t="s">
        <v>131</v>
      </c>
      <c r="C505" s="39" t="s">
        <v>139</v>
      </c>
      <c r="D505" s="39" t="s">
        <v>141</v>
      </c>
      <c r="E505" s="70" t="s">
        <v>105</v>
      </c>
      <c r="F505" s="69"/>
      <c r="G505" s="69"/>
      <c r="H505" s="68">
        <v>0.09</v>
      </c>
      <c r="I505" s="69">
        <v>9.9000000000000005E-2</v>
      </c>
      <c r="J505" s="68">
        <v>0.107</v>
      </c>
      <c r="K505" s="67">
        <v>0.13100000000000001</v>
      </c>
      <c r="L505" s="66">
        <v>0.14899999999999999</v>
      </c>
    </row>
    <row r="506" spans="1:12" outlineLevel="1" x14ac:dyDescent="0.2">
      <c r="B506" s="39" t="s">
        <v>131</v>
      </c>
      <c r="C506" s="39" t="s">
        <v>139</v>
      </c>
      <c r="D506" s="39" t="s">
        <v>141</v>
      </c>
      <c r="E506" s="65" t="s">
        <v>106</v>
      </c>
      <c r="F506" s="69"/>
      <c r="G506" s="69"/>
      <c r="H506" s="69"/>
      <c r="I506" s="69">
        <v>6.2E-2</v>
      </c>
      <c r="J506" s="69"/>
      <c r="K506" s="67">
        <v>9.0999999999999998E-2</v>
      </c>
      <c r="L506" s="66">
        <v>0.10100000000000001</v>
      </c>
    </row>
    <row r="507" spans="1:12" outlineLevel="1" x14ac:dyDescent="0.2">
      <c r="B507" s="39" t="s">
        <v>131</v>
      </c>
      <c r="C507" s="39" t="s">
        <v>139</v>
      </c>
      <c r="D507" s="39" t="s">
        <v>141</v>
      </c>
      <c r="E507" s="65" t="s">
        <v>107</v>
      </c>
      <c r="F507" s="69"/>
      <c r="G507" s="69"/>
      <c r="H507" s="69"/>
      <c r="I507" s="69">
        <v>2.1000000000000001E-2</v>
      </c>
      <c r="J507" s="69"/>
      <c r="K507" s="67">
        <v>4.3999999999999997E-2</v>
      </c>
      <c r="L507" s="66">
        <v>6.2E-2</v>
      </c>
    </row>
    <row r="508" spans="1:12" outlineLevel="1" x14ac:dyDescent="0.2">
      <c r="B508" s="39" t="s">
        <v>131</v>
      </c>
      <c r="C508" s="39" t="s">
        <v>139</v>
      </c>
      <c r="D508" s="39" t="s">
        <v>141</v>
      </c>
      <c r="E508" s="65" t="s">
        <v>108</v>
      </c>
      <c r="F508" s="69"/>
      <c r="G508" s="69"/>
      <c r="H508" s="69"/>
      <c r="I508" s="69">
        <v>7.0000000000000007E-2</v>
      </c>
      <c r="J508" s="69"/>
      <c r="K508" s="67">
        <v>0.16700000000000001</v>
      </c>
      <c r="L508" s="66">
        <v>0.186</v>
      </c>
    </row>
    <row r="509" spans="1:12" outlineLevel="1" x14ac:dyDescent="0.2">
      <c r="B509" s="39" t="s">
        <v>131</v>
      </c>
      <c r="C509" s="39" t="s">
        <v>139</v>
      </c>
      <c r="D509" s="39" t="s">
        <v>141</v>
      </c>
      <c r="E509" s="65" t="s">
        <v>109</v>
      </c>
      <c r="F509" s="66">
        <v>3.6000000000000004E-2</v>
      </c>
      <c r="G509" s="67">
        <v>4.1000000000000002E-2</v>
      </c>
      <c r="H509" s="68">
        <v>5.2999999999999999E-2</v>
      </c>
      <c r="I509" s="69">
        <v>5.9000000000000004E-2</v>
      </c>
      <c r="J509" s="68">
        <v>6.6000000000000003E-2</v>
      </c>
      <c r="K509" s="69"/>
      <c r="L509" s="69"/>
    </row>
    <row r="510" spans="1:12" outlineLevel="1" x14ac:dyDescent="0.2">
      <c r="B510" s="39" t="s">
        <v>131</v>
      </c>
      <c r="C510" s="39" t="s">
        <v>139</v>
      </c>
      <c r="D510" s="39" t="s">
        <v>141</v>
      </c>
      <c r="E510" s="70" t="s">
        <v>110</v>
      </c>
      <c r="F510" s="69"/>
      <c r="G510" s="69"/>
      <c r="H510" s="69"/>
      <c r="I510" s="69">
        <v>1.4999999999999999E-2</v>
      </c>
      <c r="J510" s="69"/>
      <c r="K510" s="67">
        <v>1.9E-2</v>
      </c>
      <c r="L510" s="66">
        <v>2.1999999999999999E-2</v>
      </c>
    </row>
    <row r="511" spans="1:12" outlineLevel="1" x14ac:dyDescent="0.2">
      <c r="B511" s="39" t="s">
        <v>131</v>
      </c>
      <c r="C511" s="39" t="s">
        <v>139</v>
      </c>
      <c r="D511" s="39" t="s">
        <v>141</v>
      </c>
      <c r="E511" s="65" t="s">
        <v>34</v>
      </c>
      <c r="F511" s="69"/>
      <c r="G511" s="69"/>
      <c r="H511" s="68">
        <v>5.8000000000000003E-2</v>
      </c>
      <c r="I511" s="69">
        <v>6.5000000000000002E-2</v>
      </c>
      <c r="J511" s="68">
        <v>7.1000000000000008E-2</v>
      </c>
      <c r="K511" s="67">
        <v>7.9000000000000001E-2</v>
      </c>
      <c r="L511" s="66">
        <v>9.1999999999999998E-2</v>
      </c>
    </row>
    <row r="512" spans="1:12" outlineLevel="1" x14ac:dyDescent="0.2">
      <c r="B512" s="39" t="s">
        <v>131</v>
      </c>
      <c r="C512" s="39" t="s">
        <v>139</v>
      </c>
      <c r="D512" s="39" t="s">
        <v>141</v>
      </c>
      <c r="E512" s="65" t="s">
        <v>4</v>
      </c>
      <c r="F512" s="71">
        <v>13.9</v>
      </c>
      <c r="G512" s="72">
        <v>14.5</v>
      </c>
      <c r="H512" s="73">
        <v>15.5</v>
      </c>
      <c r="I512" s="74">
        <v>16</v>
      </c>
      <c r="J512" s="73">
        <v>16.400000000000002</v>
      </c>
      <c r="K512" s="72">
        <v>16.8</v>
      </c>
      <c r="L512" s="71">
        <v>20.6</v>
      </c>
    </row>
    <row r="513" spans="1:14" outlineLevel="1" x14ac:dyDescent="0.2">
      <c r="B513" s="39" t="s">
        <v>131</v>
      </c>
      <c r="C513" s="39" t="s">
        <v>139</v>
      </c>
      <c r="D513" s="39" t="s">
        <v>141</v>
      </c>
      <c r="E513" s="70" t="s">
        <v>14</v>
      </c>
      <c r="F513" s="71">
        <v>7.3000000000000007</v>
      </c>
      <c r="G513" s="72">
        <v>8</v>
      </c>
      <c r="H513" s="73">
        <v>8.8000000000000007</v>
      </c>
      <c r="I513" s="74">
        <v>9.2000000000000011</v>
      </c>
      <c r="J513" s="73">
        <v>9.5</v>
      </c>
      <c r="K513" s="72">
        <v>10.200000000000001</v>
      </c>
      <c r="L513" s="71">
        <v>10.9</v>
      </c>
    </row>
    <row r="514" spans="1:14" outlineLevel="1" x14ac:dyDescent="0.2">
      <c r="B514" s="39" t="s">
        <v>131</v>
      </c>
      <c r="C514" s="39" t="s">
        <v>139</v>
      </c>
      <c r="D514" s="39" t="s">
        <v>141</v>
      </c>
      <c r="E514" s="65" t="s">
        <v>0</v>
      </c>
      <c r="F514" s="71">
        <v>20.700000000000003</v>
      </c>
      <c r="G514" s="72">
        <v>21.1</v>
      </c>
      <c r="H514" s="73">
        <v>22</v>
      </c>
      <c r="I514" s="74">
        <v>22.3</v>
      </c>
      <c r="J514" s="73">
        <v>23</v>
      </c>
      <c r="K514" s="72">
        <v>24.3</v>
      </c>
      <c r="L514" s="71">
        <v>25.400000000000002</v>
      </c>
    </row>
    <row r="515" spans="1:14" outlineLevel="1" x14ac:dyDescent="0.2"/>
    <row r="516" spans="1:14" x14ac:dyDescent="0.2"/>
    <row r="517" spans="1:14" s="63" customFormat="1" ht="60" x14ac:dyDescent="0.25">
      <c r="A517" s="62" t="s">
        <v>145</v>
      </c>
      <c r="B517" s="62" t="s">
        <v>16</v>
      </c>
      <c r="C517" s="62" t="s">
        <v>146</v>
      </c>
      <c r="D517" s="362" t="s">
        <v>147</v>
      </c>
      <c r="E517" s="362"/>
      <c r="F517" s="64" t="s">
        <v>148</v>
      </c>
      <c r="G517" s="64" t="s">
        <v>149</v>
      </c>
      <c r="H517" s="64" t="s">
        <v>150</v>
      </c>
      <c r="I517" s="64" t="s">
        <v>155</v>
      </c>
      <c r="J517" s="64" t="s">
        <v>154</v>
      </c>
      <c r="K517" s="64" t="s">
        <v>151</v>
      </c>
      <c r="L517" s="64" t="s">
        <v>152</v>
      </c>
      <c r="N517" s="63" t="s">
        <v>153</v>
      </c>
    </row>
    <row r="518" spans="1:14" x14ac:dyDescent="0.2">
      <c r="A518" s="59">
        <v>127</v>
      </c>
      <c r="B518" s="39" t="s">
        <v>132</v>
      </c>
      <c r="C518" s="39" t="s">
        <v>142</v>
      </c>
      <c r="E518" s="153" t="s">
        <v>205</v>
      </c>
    </row>
    <row r="519" spans="1:14" outlineLevel="1" x14ac:dyDescent="0.2">
      <c r="B519" s="39" t="s">
        <v>132</v>
      </c>
      <c r="C519" s="39" t="s">
        <v>142</v>
      </c>
      <c r="E519" s="65" t="s">
        <v>338</v>
      </c>
      <c r="F519" s="66">
        <v>0.25</v>
      </c>
      <c r="G519" s="67">
        <v>0.27300000000000002</v>
      </c>
      <c r="H519" s="68">
        <v>0.31900000000000001</v>
      </c>
      <c r="I519" s="69">
        <v>0.33700000000000002</v>
      </c>
      <c r="J519" s="68">
        <v>0.36399999999999999</v>
      </c>
      <c r="K519" s="67">
        <v>0.432</v>
      </c>
      <c r="L519" s="66">
        <v>0.47000000000000003</v>
      </c>
    </row>
    <row r="520" spans="1:14" outlineLevel="1" x14ac:dyDescent="0.2">
      <c r="B520" s="39" t="s">
        <v>132</v>
      </c>
      <c r="C520" s="39" t="s">
        <v>142</v>
      </c>
      <c r="E520" s="65" t="s">
        <v>339</v>
      </c>
      <c r="F520" s="66">
        <v>0.25900000000000001</v>
      </c>
      <c r="G520" s="67">
        <v>0.28300000000000003</v>
      </c>
      <c r="H520" s="68">
        <v>0.33</v>
      </c>
      <c r="I520" s="69">
        <v>0.34900000000000003</v>
      </c>
      <c r="J520" s="68">
        <v>0.375</v>
      </c>
      <c r="K520" s="67">
        <v>0.44400000000000001</v>
      </c>
      <c r="L520" s="66">
        <v>0.48199999999999998</v>
      </c>
    </row>
    <row r="521" spans="1:14" outlineLevel="1" x14ac:dyDescent="0.2">
      <c r="B521" s="39" t="s">
        <v>132</v>
      </c>
      <c r="C521" s="39" t="s">
        <v>142</v>
      </c>
      <c r="E521" s="65" t="s">
        <v>351</v>
      </c>
      <c r="F521" s="66">
        <v>0.26900000000000002</v>
      </c>
      <c r="G521" s="67">
        <v>0.29299999999999998</v>
      </c>
      <c r="H521" s="68">
        <v>0.34100000000000003</v>
      </c>
      <c r="I521" s="69">
        <v>0.36</v>
      </c>
      <c r="J521" s="68">
        <v>0.38700000000000001</v>
      </c>
      <c r="K521" s="67">
        <v>0.45600000000000002</v>
      </c>
      <c r="L521" s="66">
        <v>0.49399999999999999</v>
      </c>
    </row>
    <row r="522" spans="1:14" outlineLevel="1" x14ac:dyDescent="0.2">
      <c r="B522" s="39" t="s">
        <v>132</v>
      </c>
      <c r="C522" s="39" t="s">
        <v>142</v>
      </c>
      <c r="E522" s="65" t="s">
        <v>352</v>
      </c>
      <c r="F522" s="66">
        <v>0.27100000000000002</v>
      </c>
      <c r="G522" s="67">
        <v>0.29599999999999999</v>
      </c>
      <c r="H522" s="68">
        <v>0.34400000000000003</v>
      </c>
      <c r="I522" s="69">
        <v>0.36299999999999999</v>
      </c>
      <c r="J522" s="68">
        <v>0.39</v>
      </c>
      <c r="K522" s="67">
        <v>0.46</v>
      </c>
      <c r="L522" s="66">
        <v>0.498</v>
      </c>
    </row>
    <row r="523" spans="1:14" outlineLevel="1" x14ac:dyDescent="0.2">
      <c r="B523" s="39" t="s">
        <v>132</v>
      </c>
      <c r="C523" s="39" t="s">
        <v>142</v>
      </c>
      <c r="E523" s="65" t="s">
        <v>104</v>
      </c>
      <c r="F523" s="69"/>
      <c r="G523" s="69"/>
      <c r="H523" s="68">
        <v>2.1000000000000001E-2</v>
      </c>
      <c r="I523" s="69">
        <v>2.8000000000000001E-2</v>
      </c>
      <c r="J523" s="68">
        <v>5.5E-2</v>
      </c>
      <c r="K523" s="67">
        <v>0.10400000000000001</v>
      </c>
      <c r="L523" s="66">
        <v>0.14499999999999999</v>
      </c>
    </row>
    <row r="524" spans="1:14" outlineLevel="1" x14ac:dyDescent="0.2">
      <c r="B524" s="39" t="s">
        <v>132</v>
      </c>
      <c r="C524" s="39" t="s">
        <v>142</v>
      </c>
      <c r="E524" s="65" t="s">
        <v>105</v>
      </c>
      <c r="F524" s="69"/>
      <c r="G524" s="69"/>
      <c r="H524" s="68">
        <v>0.25600000000000001</v>
      </c>
      <c r="I524" s="69">
        <v>0.27800000000000002</v>
      </c>
      <c r="J524" s="68">
        <v>0.30499999999999999</v>
      </c>
      <c r="K524" s="67">
        <v>0.372</v>
      </c>
      <c r="L524" s="66">
        <v>0.40400000000000003</v>
      </c>
    </row>
    <row r="525" spans="1:14" outlineLevel="1" x14ac:dyDescent="0.2">
      <c r="B525" s="39" t="s">
        <v>132</v>
      </c>
      <c r="C525" s="39" t="s">
        <v>142</v>
      </c>
      <c r="E525" s="65" t="s">
        <v>106</v>
      </c>
      <c r="F525" s="69"/>
      <c r="G525" s="69"/>
      <c r="H525" s="69"/>
      <c r="I525" s="69">
        <v>2.6000000000000002E-2</v>
      </c>
      <c r="J525" s="69"/>
      <c r="K525" s="67">
        <v>8.1000000000000003E-2</v>
      </c>
      <c r="L525" s="66">
        <v>0.113</v>
      </c>
    </row>
    <row r="526" spans="1:14" outlineLevel="1" x14ac:dyDescent="0.2">
      <c r="B526" s="39" t="s">
        <v>132</v>
      </c>
      <c r="C526" s="39" t="s">
        <v>142</v>
      </c>
      <c r="E526" s="65" t="s">
        <v>107</v>
      </c>
      <c r="F526" s="69"/>
      <c r="G526" s="69"/>
      <c r="H526" s="69"/>
      <c r="I526" s="69">
        <v>2.1000000000000001E-2</v>
      </c>
      <c r="J526" s="69"/>
      <c r="K526" s="67">
        <v>0.04</v>
      </c>
      <c r="L526" s="66">
        <v>5.5E-2</v>
      </c>
    </row>
    <row r="527" spans="1:14" outlineLevel="1" x14ac:dyDescent="0.2">
      <c r="B527" s="39" t="s">
        <v>132</v>
      </c>
      <c r="C527" s="39" t="s">
        <v>142</v>
      </c>
      <c r="E527" s="65" t="s">
        <v>108</v>
      </c>
      <c r="F527" s="69"/>
      <c r="G527" s="69"/>
      <c r="H527" s="69"/>
      <c r="I527" s="69">
        <v>7.6999999999999999E-2</v>
      </c>
      <c r="J527" s="69"/>
      <c r="K527" s="67">
        <v>0.10300000000000001</v>
      </c>
      <c r="L527" s="66">
        <v>0.115</v>
      </c>
    </row>
    <row r="528" spans="1:14" outlineLevel="1" x14ac:dyDescent="0.2">
      <c r="B528" s="39" t="s">
        <v>132</v>
      </c>
      <c r="C528" s="39" t="s">
        <v>142</v>
      </c>
      <c r="E528" s="65" t="s">
        <v>109</v>
      </c>
      <c r="F528" s="66">
        <v>1.7000000000000001E-2</v>
      </c>
      <c r="G528" s="67">
        <v>2.1000000000000001E-2</v>
      </c>
      <c r="H528" s="68">
        <v>3.1E-2</v>
      </c>
      <c r="I528" s="69">
        <v>3.5000000000000003E-2</v>
      </c>
      <c r="J528" s="68">
        <v>3.7999999999999999E-2</v>
      </c>
      <c r="K528" s="69"/>
      <c r="L528" s="69"/>
    </row>
    <row r="529" spans="1:12" outlineLevel="1" x14ac:dyDescent="0.2">
      <c r="B529" s="39" t="s">
        <v>132</v>
      </c>
      <c r="C529" s="39" t="s">
        <v>142</v>
      </c>
      <c r="E529" s="65" t="s">
        <v>110</v>
      </c>
      <c r="F529" s="69"/>
      <c r="G529" s="69"/>
      <c r="H529" s="69"/>
      <c r="I529" s="69">
        <v>0.01</v>
      </c>
      <c r="J529" s="69"/>
      <c r="K529" s="67">
        <v>1.4999999999999999E-2</v>
      </c>
      <c r="L529" s="66">
        <v>1.8000000000000002E-2</v>
      </c>
    </row>
    <row r="530" spans="1:12" outlineLevel="1" x14ac:dyDescent="0.2">
      <c r="B530" s="39" t="s">
        <v>132</v>
      </c>
      <c r="C530" s="39" t="s">
        <v>142</v>
      </c>
      <c r="E530" s="65" t="s">
        <v>34</v>
      </c>
      <c r="F530" s="69"/>
      <c r="G530" s="69"/>
      <c r="H530" s="68">
        <v>5.1000000000000004E-2</v>
      </c>
      <c r="I530" s="69">
        <v>5.9000000000000004E-2</v>
      </c>
      <c r="J530" s="68">
        <v>6.7000000000000004E-2</v>
      </c>
      <c r="K530" s="67">
        <v>8.8999999999999996E-2</v>
      </c>
      <c r="L530" s="66">
        <v>0.125</v>
      </c>
    </row>
    <row r="531" spans="1:12" outlineLevel="1" x14ac:dyDescent="0.2">
      <c r="B531" s="39" t="s">
        <v>132</v>
      </c>
      <c r="C531" s="39" t="s">
        <v>142</v>
      </c>
      <c r="E531" s="65" t="s">
        <v>4</v>
      </c>
      <c r="F531" s="71">
        <v>3.8000000000000003</v>
      </c>
      <c r="G531" s="72">
        <v>4.4000000000000004</v>
      </c>
      <c r="H531" s="73">
        <v>5.3000000000000007</v>
      </c>
      <c r="I531" s="74">
        <v>5.7</v>
      </c>
      <c r="J531" s="73">
        <v>6</v>
      </c>
      <c r="K531" s="72">
        <v>6.9</v>
      </c>
      <c r="L531" s="71">
        <v>7.3000000000000007</v>
      </c>
    </row>
    <row r="532" spans="1:12" outlineLevel="1" x14ac:dyDescent="0.2">
      <c r="B532" s="39" t="s">
        <v>132</v>
      </c>
      <c r="C532" s="39" t="s">
        <v>142</v>
      </c>
      <c r="E532" s="70" t="s">
        <v>14</v>
      </c>
      <c r="F532" s="71">
        <v>1.1000000000000001</v>
      </c>
      <c r="G532" s="72">
        <v>1.3</v>
      </c>
      <c r="H532" s="73">
        <v>1.5</v>
      </c>
      <c r="I532" s="74">
        <v>1.6</v>
      </c>
      <c r="J532" s="73">
        <v>1.8</v>
      </c>
      <c r="K532" s="72">
        <v>2.4000000000000004</v>
      </c>
      <c r="L532" s="71">
        <v>2.6</v>
      </c>
    </row>
    <row r="533" spans="1:12" outlineLevel="1" x14ac:dyDescent="0.2">
      <c r="B533" s="39" t="s">
        <v>132</v>
      </c>
      <c r="C533" s="39" t="s">
        <v>142</v>
      </c>
      <c r="E533" s="65" t="s">
        <v>343</v>
      </c>
      <c r="F533" s="78">
        <v>49092</v>
      </c>
      <c r="G533" s="79">
        <v>51942</v>
      </c>
      <c r="H533" s="80">
        <v>57021</v>
      </c>
      <c r="I533" s="81">
        <v>59098</v>
      </c>
      <c r="J533" s="80">
        <v>61359</v>
      </c>
      <c r="K533" s="79">
        <v>65454</v>
      </c>
      <c r="L533" s="78">
        <v>69396</v>
      </c>
    </row>
    <row r="534" spans="1:12" outlineLevel="1" x14ac:dyDescent="0.2">
      <c r="B534" s="39" t="s">
        <v>132</v>
      </c>
      <c r="C534" s="39" t="s">
        <v>142</v>
      </c>
      <c r="E534" s="65" t="s">
        <v>344</v>
      </c>
      <c r="F534" s="78">
        <v>51595</v>
      </c>
      <c r="G534" s="79">
        <v>54591</v>
      </c>
      <c r="H534" s="80">
        <v>59929</v>
      </c>
      <c r="I534" s="81">
        <v>62112</v>
      </c>
      <c r="J534" s="80">
        <v>64488</v>
      </c>
      <c r="K534" s="79">
        <v>68792</v>
      </c>
      <c r="L534" s="78">
        <v>72936</v>
      </c>
    </row>
    <row r="535" spans="1:12" outlineLevel="1" x14ac:dyDescent="0.2">
      <c r="B535" s="39" t="s">
        <v>132</v>
      </c>
      <c r="C535" s="39" t="s">
        <v>142</v>
      </c>
      <c r="E535" s="65" t="s">
        <v>353</v>
      </c>
      <c r="F535" s="78">
        <v>54246</v>
      </c>
      <c r="G535" s="79">
        <v>57396</v>
      </c>
      <c r="H535" s="80">
        <v>63008</v>
      </c>
      <c r="I535" s="81">
        <v>65304</v>
      </c>
      <c r="J535" s="80">
        <v>67802</v>
      </c>
      <c r="K535" s="79">
        <v>72326</v>
      </c>
      <c r="L535" s="78">
        <v>76683</v>
      </c>
    </row>
    <row r="536" spans="1:12" outlineLevel="1" x14ac:dyDescent="0.2">
      <c r="B536" s="39" t="s">
        <v>132</v>
      </c>
      <c r="C536" s="39" t="s">
        <v>142</v>
      </c>
      <c r="E536" s="65" t="s">
        <v>354</v>
      </c>
      <c r="F536" s="78">
        <v>54934</v>
      </c>
      <c r="G536" s="79">
        <v>58123</v>
      </c>
      <c r="H536" s="80">
        <v>63806</v>
      </c>
      <c r="I536" s="81">
        <v>66131</v>
      </c>
      <c r="J536" s="80">
        <v>68661</v>
      </c>
      <c r="K536" s="79">
        <v>73243</v>
      </c>
      <c r="L536" s="78">
        <v>77655</v>
      </c>
    </row>
    <row r="537" spans="1:12" outlineLevel="1" x14ac:dyDescent="0.2"/>
    <row r="538" spans="1:12" x14ac:dyDescent="0.2">
      <c r="A538" s="59">
        <v>774</v>
      </c>
      <c r="B538" s="39" t="s">
        <v>132</v>
      </c>
      <c r="C538" s="39" t="s">
        <v>143</v>
      </c>
      <c r="E538" s="153" t="s">
        <v>207</v>
      </c>
    </row>
    <row r="539" spans="1:12" outlineLevel="1" x14ac:dyDescent="0.2">
      <c r="B539" s="39" t="s">
        <v>132</v>
      </c>
      <c r="C539" s="39" t="s">
        <v>143</v>
      </c>
      <c r="E539" s="65" t="s">
        <v>338</v>
      </c>
      <c r="F539" s="66">
        <v>0.27800000000000002</v>
      </c>
      <c r="G539" s="67">
        <v>0.30399999999999999</v>
      </c>
      <c r="H539" s="68">
        <v>0.34200000000000003</v>
      </c>
      <c r="I539" s="69">
        <v>0.35699999999999998</v>
      </c>
      <c r="J539" s="68">
        <v>0.373</v>
      </c>
      <c r="K539" s="67">
        <v>0.42</v>
      </c>
      <c r="L539" s="66">
        <v>0.46100000000000002</v>
      </c>
    </row>
    <row r="540" spans="1:12" outlineLevel="1" x14ac:dyDescent="0.2">
      <c r="B540" s="39" t="s">
        <v>132</v>
      </c>
      <c r="C540" s="39" t="s">
        <v>143</v>
      </c>
      <c r="E540" s="65" t="s">
        <v>339</v>
      </c>
      <c r="F540" s="66">
        <v>0.28899999999999998</v>
      </c>
      <c r="G540" s="67">
        <v>0.314</v>
      </c>
      <c r="H540" s="68">
        <v>0.35299999999999998</v>
      </c>
      <c r="I540" s="69">
        <v>0.36799999999999999</v>
      </c>
      <c r="J540" s="68">
        <v>0.38500000000000001</v>
      </c>
      <c r="K540" s="67">
        <v>0.432</v>
      </c>
      <c r="L540" s="66">
        <v>0.47400000000000003</v>
      </c>
    </row>
    <row r="541" spans="1:12" outlineLevel="1" x14ac:dyDescent="0.2">
      <c r="B541" s="39" t="s">
        <v>132</v>
      </c>
      <c r="C541" s="39" t="s">
        <v>143</v>
      </c>
      <c r="E541" s="65" t="s">
        <v>351</v>
      </c>
      <c r="F541" s="66">
        <v>0.29899999999999999</v>
      </c>
      <c r="G541" s="67">
        <v>0.32500000000000001</v>
      </c>
      <c r="H541" s="68">
        <v>0.36499999999999999</v>
      </c>
      <c r="I541" s="69">
        <v>0.38</v>
      </c>
      <c r="J541" s="68">
        <v>0.39700000000000002</v>
      </c>
      <c r="K541" s="67">
        <v>0.44400000000000001</v>
      </c>
      <c r="L541" s="66">
        <v>0.48599999999999999</v>
      </c>
    </row>
    <row r="542" spans="1:12" outlineLevel="1" x14ac:dyDescent="0.2">
      <c r="B542" s="39" t="s">
        <v>132</v>
      </c>
      <c r="C542" s="39" t="s">
        <v>143</v>
      </c>
      <c r="E542" s="65" t="s">
        <v>352</v>
      </c>
      <c r="F542" s="66">
        <v>0.30199999999999999</v>
      </c>
      <c r="G542" s="67">
        <v>0.32800000000000001</v>
      </c>
      <c r="H542" s="68">
        <v>0.36699999999999999</v>
      </c>
      <c r="I542" s="69">
        <v>0.38300000000000001</v>
      </c>
      <c r="J542" s="68">
        <v>0.4</v>
      </c>
      <c r="K542" s="67">
        <v>0.44700000000000001</v>
      </c>
      <c r="L542" s="66">
        <v>0.48899999999999999</v>
      </c>
    </row>
    <row r="543" spans="1:12" outlineLevel="1" x14ac:dyDescent="0.2">
      <c r="B543" s="39" t="s">
        <v>132</v>
      </c>
      <c r="C543" s="39" t="s">
        <v>143</v>
      </c>
      <c r="E543" s="65" t="s">
        <v>104</v>
      </c>
      <c r="F543" s="69"/>
      <c r="G543" s="69"/>
      <c r="H543" s="68">
        <v>1.0999999999999999E-2</v>
      </c>
      <c r="I543" s="69">
        <v>1.6E-2</v>
      </c>
      <c r="J543" s="68">
        <v>2.1000000000000001E-2</v>
      </c>
      <c r="K543" s="67">
        <v>4.3000000000000003E-2</v>
      </c>
      <c r="L543" s="66">
        <v>6.5000000000000002E-2</v>
      </c>
    </row>
    <row r="544" spans="1:12" outlineLevel="1" x14ac:dyDescent="0.2">
      <c r="B544" s="39" t="s">
        <v>132</v>
      </c>
      <c r="C544" s="39" t="s">
        <v>143</v>
      </c>
      <c r="E544" s="65" t="s">
        <v>105</v>
      </c>
      <c r="F544" s="69"/>
      <c r="G544" s="69"/>
      <c r="H544" s="68">
        <v>0.29899999999999999</v>
      </c>
      <c r="I544" s="69">
        <v>0.32600000000000001</v>
      </c>
      <c r="J544" s="68">
        <v>0.35199999999999998</v>
      </c>
      <c r="K544" s="67">
        <v>0.39400000000000002</v>
      </c>
      <c r="L544" s="66">
        <v>0.42199999999999999</v>
      </c>
    </row>
    <row r="545" spans="1:12" outlineLevel="1" x14ac:dyDescent="0.2">
      <c r="B545" s="39" t="s">
        <v>132</v>
      </c>
      <c r="C545" s="39" t="s">
        <v>143</v>
      </c>
      <c r="E545" s="65" t="s">
        <v>106</v>
      </c>
      <c r="F545" s="69"/>
      <c r="G545" s="69"/>
      <c r="H545" s="69"/>
      <c r="I545" s="69">
        <v>2.7E-2</v>
      </c>
      <c r="J545" s="69"/>
      <c r="K545" s="67">
        <v>5.7000000000000002E-2</v>
      </c>
      <c r="L545" s="66">
        <v>7.2000000000000008E-2</v>
      </c>
    </row>
    <row r="546" spans="1:12" outlineLevel="1" x14ac:dyDescent="0.2">
      <c r="B546" s="39" t="s">
        <v>132</v>
      </c>
      <c r="C546" s="39" t="s">
        <v>143</v>
      </c>
      <c r="E546" s="65" t="s">
        <v>107</v>
      </c>
      <c r="F546" s="69"/>
      <c r="G546" s="69"/>
      <c r="H546" s="69"/>
      <c r="I546" s="69">
        <v>0.03</v>
      </c>
      <c r="J546" s="69"/>
      <c r="K546" s="67">
        <v>5.3999999999999999E-2</v>
      </c>
      <c r="L546" s="66">
        <v>7.3999999999999996E-2</v>
      </c>
    </row>
    <row r="547" spans="1:12" outlineLevel="1" x14ac:dyDescent="0.2">
      <c r="B547" s="39" t="s">
        <v>132</v>
      </c>
      <c r="C547" s="39" t="s">
        <v>143</v>
      </c>
      <c r="E547" s="65" t="s">
        <v>108</v>
      </c>
      <c r="F547" s="69"/>
      <c r="G547" s="69"/>
      <c r="H547" s="69"/>
      <c r="I547" s="69">
        <v>6.9000000000000006E-2</v>
      </c>
      <c r="J547" s="69"/>
      <c r="K547" s="67">
        <v>9.5000000000000001E-2</v>
      </c>
      <c r="L547" s="66">
        <v>0.113</v>
      </c>
    </row>
    <row r="548" spans="1:12" outlineLevel="1" x14ac:dyDescent="0.2">
      <c r="B548" s="39" t="s">
        <v>132</v>
      </c>
      <c r="C548" s="39" t="s">
        <v>143</v>
      </c>
      <c r="E548" s="65" t="s">
        <v>109</v>
      </c>
      <c r="F548" s="66">
        <v>0.02</v>
      </c>
      <c r="G548" s="67">
        <v>2.4E-2</v>
      </c>
      <c r="H548" s="68">
        <v>3.2000000000000001E-2</v>
      </c>
      <c r="I548" s="69">
        <v>3.6000000000000004E-2</v>
      </c>
      <c r="J548" s="68">
        <v>4.1000000000000002E-2</v>
      </c>
      <c r="K548" s="69"/>
      <c r="L548" s="69"/>
    </row>
    <row r="549" spans="1:12" outlineLevel="1" x14ac:dyDescent="0.2">
      <c r="B549" s="39" t="s">
        <v>132</v>
      </c>
      <c r="C549" s="39" t="s">
        <v>143</v>
      </c>
      <c r="E549" s="65" t="s">
        <v>110</v>
      </c>
      <c r="F549" s="69"/>
      <c r="G549" s="69"/>
      <c r="H549" s="69"/>
      <c r="I549" s="69">
        <v>1.0999999999999999E-2</v>
      </c>
      <c r="J549" s="69"/>
      <c r="K549" s="67">
        <v>1.6E-2</v>
      </c>
      <c r="L549" s="66">
        <v>1.9E-2</v>
      </c>
    </row>
    <row r="550" spans="1:12" outlineLevel="1" x14ac:dyDescent="0.2">
      <c r="B550" s="39" t="s">
        <v>132</v>
      </c>
      <c r="C550" s="39" t="s">
        <v>143</v>
      </c>
      <c r="E550" s="65" t="s">
        <v>34</v>
      </c>
      <c r="F550" s="69"/>
      <c r="G550" s="69"/>
      <c r="H550" s="68">
        <v>0.05</v>
      </c>
      <c r="I550" s="69">
        <v>5.6000000000000001E-2</v>
      </c>
      <c r="J550" s="68">
        <v>6.0999999999999999E-2</v>
      </c>
      <c r="K550" s="67">
        <v>8.3000000000000004E-2</v>
      </c>
      <c r="L550" s="66">
        <v>0.10200000000000001</v>
      </c>
    </row>
    <row r="551" spans="1:12" outlineLevel="1" x14ac:dyDescent="0.2">
      <c r="B551" s="39" t="s">
        <v>132</v>
      </c>
      <c r="C551" s="39" t="s">
        <v>143</v>
      </c>
      <c r="E551" s="65" t="s">
        <v>4</v>
      </c>
      <c r="F551" s="71">
        <v>4.5</v>
      </c>
      <c r="G551" s="72">
        <v>5.4</v>
      </c>
      <c r="H551" s="73">
        <v>6.3000000000000007</v>
      </c>
      <c r="I551" s="74">
        <v>6.8000000000000007</v>
      </c>
      <c r="J551" s="73">
        <v>7.1000000000000005</v>
      </c>
      <c r="K551" s="72">
        <v>7.9</v>
      </c>
      <c r="L551" s="71">
        <v>8.7000000000000011</v>
      </c>
    </row>
    <row r="552" spans="1:12" outlineLevel="1" x14ac:dyDescent="0.2">
      <c r="B552" s="39" t="s">
        <v>132</v>
      </c>
      <c r="C552" s="39" t="s">
        <v>143</v>
      </c>
      <c r="E552" s="70" t="s">
        <v>14</v>
      </c>
      <c r="F552" s="71">
        <v>1.3</v>
      </c>
      <c r="G552" s="72">
        <v>1.5</v>
      </c>
      <c r="H552" s="73">
        <v>1.8</v>
      </c>
      <c r="I552" s="74">
        <v>1.9000000000000001</v>
      </c>
      <c r="J552" s="73">
        <v>2</v>
      </c>
      <c r="K552" s="72">
        <v>2.4000000000000004</v>
      </c>
      <c r="L552" s="71">
        <v>2.8000000000000003</v>
      </c>
    </row>
    <row r="553" spans="1:12" outlineLevel="1" x14ac:dyDescent="0.2">
      <c r="B553" s="39" t="s">
        <v>132</v>
      </c>
      <c r="C553" s="39" t="s">
        <v>143</v>
      </c>
      <c r="E553" s="65" t="s">
        <v>343</v>
      </c>
      <c r="F553" s="78">
        <v>45664</v>
      </c>
      <c r="G553" s="79">
        <v>48346</v>
      </c>
      <c r="H553" s="80">
        <v>51305</v>
      </c>
      <c r="I553" s="81">
        <v>52746</v>
      </c>
      <c r="J553" s="80">
        <v>54356</v>
      </c>
      <c r="K553" s="79">
        <v>58201</v>
      </c>
      <c r="L553" s="78">
        <v>62600</v>
      </c>
    </row>
    <row r="554" spans="1:12" outlineLevel="1" x14ac:dyDescent="0.2">
      <c r="B554" s="39" t="s">
        <v>132</v>
      </c>
      <c r="C554" s="39" t="s">
        <v>143</v>
      </c>
      <c r="E554" s="65" t="s">
        <v>344</v>
      </c>
      <c r="F554" s="78">
        <v>47992</v>
      </c>
      <c r="G554" s="79">
        <v>50811</v>
      </c>
      <c r="H554" s="80">
        <v>53922</v>
      </c>
      <c r="I554" s="81">
        <v>55436</v>
      </c>
      <c r="J554" s="80">
        <v>57128</v>
      </c>
      <c r="K554" s="79">
        <v>61170</v>
      </c>
      <c r="L554" s="78">
        <v>65793</v>
      </c>
    </row>
    <row r="555" spans="1:12" outlineLevel="1" x14ac:dyDescent="0.2">
      <c r="B555" s="39" t="s">
        <v>132</v>
      </c>
      <c r="C555" s="39" t="s">
        <v>143</v>
      </c>
      <c r="E555" s="65" t="s">
        <v>353</v>
      </c>
      <c r="F555" s="78">
        <v>50458</v>
      </c>
      <c r="G555" s="79">
        <v>53422</v>
      </c>
      <c r="H555" s="80">
        <v>56692</v>
      </c>
      <c r="I555" s="81">
        <v>58284</v>
      </c>
      <c r="J555" s="80">
        <v>60063</v>
      </c>
      <c r="K555" s="79">
        <v>64313</v>
      </c>
      <c r="L555" s="78">
        <v>69173</v>
      </c>
    </row>
    <row r="556" spans="1:12" outlineLevel="1" x14ac:dyDescent="0.2">
      <c r="B556" s="39" t="s">
        <v>132</v>
      </c>
      <c r="C556" s="39" t="s">
        <v>143</v>
      </c>
      <c r="E556" s="65" t="s">
        <v>354</v>
      </c>
      <c r="F556" s="78">
        <v>51097</v>
      </c>
      <c r="G556" s="79">
        <v>54099</v>
      </c>
      <c r="H556" s="80">
        <v>57411</v>
      </c>
      <c r="I556" s="81">
        <v>59022</v>
      </c>
      <c r="J556" s="80">
        <v>60824</v>
      </c>
      <c r="K556" s="79">
        <v>65127</v>
      </c>
      <c r="L556" s="78">
        <v>70049</v>
      </c>
    </row>
    <row r="557" spans="1:12" outlineLevel="1" x14ac:dyDescent="0.2"/>
    <row r="558" spans="1:12" x14ac:dyDescent="0.2">
      <c r="A558" s="59">
        <v>48</v>
      </c>
      <c r="B558" s="39" t="s">
        <v>133</v>
      </c>
      <c r="C558" s="39" t="s">
        <v>142</v>
      </c>
      <c r="E558" s="153" t="s">
        <v>206</v>
      </c>
    </row>
    <row r="559" spans="1:12" outlineLevel="1" x14ac:dyDescent="0.2">
      <c r="B559" s="39" t="s">
        <v>133</v>
      </c>
      <c r="C559" s="39" t="s">
        <v>142</v>
      </c>
      <c r="E559" s="65" t="s">
        <v>338</v>
      </c>
      <c r="F559" s="66">
        <v>0.30343331086270398</v>
      </c>
      <c r="G559" s="67">
        <v>0.328265051257004</v>
      </c>
      <c r="H559" s="68">
        <v>0.41192441070330799</v>
      </c>
      <c r="I559" s="69">
        <v>0.42195770998520099</v>
      </c>
      <c r="J559" s="68">
        <v>0.45518123636951102</v>
      </c>
      <c r="K559" s="67">
        <v>0.52853566451643097</v>
      </c>
      <c r="L559" s="66">
        <v>0.56384570319317495</v>
      </c>
    </row>
    <row r="560" spans="1:12" outlineLevel="1" x14ac:dyDescent="0.2">
      <c r="B560" s="39" t="s">
        <v>133</v>
      </c>
      <c r="C560" s="39" t="s">
        <v>142</v>
      </c>
      <c r="E560" s="65" t="s">
        <v>339</v>
      </c>
      <c r="F560" s="66">
        <v>0.31404580594271903</v>
      </c>
      <c r="G560" s="67">
        <v>0.33932489671302501</v>
      </c>
      <c r="H560" s="68">
        <v>0.424024574203413</v>
      </c>
      <c r="I560" s="69">
        <v>0.43413503035821399</v>
      </c>
      <c r="J560" s="68">
        <v>0.46754111079051502</v>
      </c>
      <c r="K560" s="67">
        <v>0.540910522878853</v>
      </c>
      <c r="L560" s="66">
        <v>0.57603698314025498</v>
      </c>
    </row>
    <row r="561" spans="2:12" outlineLevel="1" x14ac:dyDescent="0.2">
      <c r="B561" s="39" t="s">
        <v>133</v>
      </c>
      <c r="C561" s="39" t="s">
        <v>142</v>
      </c>
      <c r="E561" s="65" t="s">
        <v>351</v>
      </c>
      <c r="F561" s="66">
        <v>0.32493551019726302</v>
      </c>
      <c r="G561" s="67">
        <v>0.35064511058498299</v>
      </c>
      <c r="H561" s="68">
        <v>0.43630534325818898</v>
      </c>
      <c r="I561" s="69">
        <v>0.44648164017546699</v>
      </c>
      <c r="J561" s="68">
        <v>0.48003108672586903</v>
      </c>
      <c r="K561" s="67">
        <v>0.55332439143195</v>
      </c>
      <c r="L561" s="66">
        <v>0.58822389036979195</v>
      </c>
    </row>
    <row r="562" spans="2:12" outlineLevel="1" x14ac:dyDescent="0.2">
      <c r="B562" s="39" t="s">
        <v>133</v>
      </c>
      <c r="C562" s="39" t="s">
        <v>142</v>
      </c>
      <c r="E562" s="65" t="s">
        <v>352</v>
      </c>
      <c r="F562" s="66">
        <v>0.32770252825438401</v>
      </c>
      <c r="G562" s="67">
        <v>0.35351692760658598</v>
      </c>
      <c r="H562" s="68">
        <v>0.43940422988349698</v>
      </c>
      <c r="I562" s="69">
        <v>0.44959515852308202</v>
      </c>
      <c r="J562" s="68">
        <v>0.48317415044497097</v>
      </c>
      <c r="K562" s="67">
        <v>0.55643397555685203</v>
      </c>
      <c r="L562" s="66">
        <v>0.59126993432196295</v>
      </c>
    </row>
    <row r="563" spans="2:12" outlineLevel="1" x14ac:dyDescent="0.2">
      <c r="B563" s="39" t="s">
        <v>133</v>
      </c>
      <c r="C563" s="39" t="s">
        <v>142</v>
      </c>
      <c r="E563" s="65" t="s">
        <v>104</v>
      </c>
      <c r="F563" s="69"/>
      <c r="G563" s="69"/>
      <c r="H563" s="68">
        <v>3.8390763337354701E-2</v>
      </c>
      <c r="I563" s="69">
        <v>6.0562110920988503E-2</v>
      </c>
      <c r="J563" s="68">
        <v>7.1701688877546604E-2</v>
      </c>
      <c r="K563" s="67">
        <v>0.11839216731070901</v>
      </c>
      <c r="L563" s="66">
        <v>0.15533176421007999</v>
      </c>
    </row>
    <row r="564" spans="2:12" outlineLevel="1" x14ac:dyDescent="0.2">
      <c r="B564" s="39" t="s">
        <v>133</v>
      </c>
      <c r="C564" s="39" t="s">
        <v>142</v>
      </c>
      <c r="E564" s="65" t="s">
        <v>105</v>
      </c>
      <c r="F564" s="69"/>
      <c r="G564" s="69"/>
      <c r="H564" s="68">
        <v>0.15500700418211499</v>
      </c>
      <c r="I564" s="69">
        <v>0.17721990622822001</v>
      </c>
      <c r="J564" s="68">
        <v>0.196805001876452</v>
      </c>
      <c r="K564" s="67">
        <v>0.25603827948284402</v>
      </c>
      <c r="L564" s="66">
        <v>0.27615555324242702</v>
      </c>
    </row>
    <row r="565" spans="2:12" outlineLevel="1" x14ac:dyDescent="0.2">
      <c r="B565" s="39" t="s">
        <v>133</v>
      </c>
      <c r="C565" s="39" t="s">
        <v>142</v>
      </c>
      <c r="E565" s="65" t="s">
        <v>106</v>
      </c>
      <c r="F565" s="69"/>
      <c r="G565" s="69"/>
      <c r="H565" s="69"/>
      <c r="I565" s="69">
        <v>1.4357697158492701E-2</v>
      </c>
      <c r="J565" s="69"/>
      <c r="K565" s="67">
        <v>5.0700945275321402E-2</v>
      </c>
      <c r="L565" s="66">
        <v>6.7317222948406003E-2</v>
      </c>
    </row>
    <row r="566" spans="2:12" outlineLevel="1" x14ac:dyDescent="0.2">
      <c r="B566" s="39" t="s">
        <v>133</v>
      </c>
      <c r="C566" s="39" t="s">
        <v>142</v>
      </c>
      <c r="E566" s="65" t="s">
        <v>107</v>
      </c>
      <c r="F566" s="69"/>
      <c r="G566" s="69"/>
      <c r="H566" s="69"/>
      <c r="I566" s="69">
        <v>1.43798018271383E-2</v>
      </c>
      <c r="J566" s="69"/>
      <c r="K566" s="67">
        <v>2.7609904414836999E-2</v>
      </c>
      <c r="L566" s="66">
        <v>5.3631779723276603E-2</v>
      </c>
    </row>
    <row r="567" spans="2:12" outlineLevel="1" x14ac:dyDescent="0.2">
      <c r="B567" s="39" t="s">
        <v>133</v>
      </c>
      <c r="C567" s="39" t="s">
        <v>142</v>
      </c>
      <c r="E567" s="65" t="s">
        <v>108</v>
      </c>
      <c r="F567" s="69"/>
      <c r="G567" s="69"/>
      <c r="H567" s="69"/>
      <c r="I567" s="69">
        <v>8.0728063990963994E-2</v>
      </c>
      <c r="J567" s="69"/>
      <c r="K567" s="67">
        <v>0.110860792438448</v>
      </c>
      <c r="L567" s="66">
        <v>0.11973517190583401</v>
      </c>
    </row>
    <row r="568" spans="2:12" outlineLevel="1" x14ac:dyDescent="0.2">
      <c r="B568" s="39" t="s">
        <v>133</v>
      </c>
      <c r="C568" s="39" t="s">
        <v>142</v>
      </c>
      <c r="E568" s="65" t="s">
        <v>109</v>
      </c>
      <c r="F568" s="66">
        <v>1.9511295190647301E-2</v>
      </c>
      <c r="G568" s="67">
        <v>2.2241159133919199E-2</v>
      </c>
      <c r="H568" s="68">
        <v>3.0096621277771799E-2</v>
      </c>
      <c r="I568" s="69">
        <v>3.4260553547417201E-2</v>
      </c>
      <c r="J568" s="68">
        <v>4.4422701387642399E-2</v>
      </c>
      <c r="K568" s="69"/>
      <c r="L568" s="69"/>
    </row>
    <row r="569" spans="2:12" outlineLevel="1" x14ac:dyDescent="0.2">
      <c r="B569" s="39" t="s">
        <v>133</v>
      </c>
      <c r="C569" s="39" t="s">
        <v>142</v>
      </c>
      <c r="E569" s="65" t="s">
        <v>110</v>
      </c>
      <c r="F569" s="69"/>
      <c r="G569" s="69"/>
      <c r="H569" s="69"/>
      <c r="I569" s="69">
        <v>6.2232918946216603E-3</v>
      </c>
      <c r="J569" s="69"/>
      <c r="K569" s="67">
        <v>1.02679310442601E-2</v>
      </c>
      <c r="L569" s="66">
        <v>1.42410222582785E-2</v>
      </c>
    </row>
    <row r="570" spans="2:12" outlineLevel="1" x14ac:dyDescent="0.2">
      <c r="B570" s="39" t="s">
        <v>133</v>
      </c>
      <c r="C570" s="39" t="s">
        <v>142</v>
      </c>
      <c r="E570" s="65" t="s">
        <v>34</v>
      </c>
      <c r="F570" s="69"/>
      <c r="G570" s="69"/>
      <c r="H570" s="68">
        <v>0.112199362503622</v>
      </c>
      <c r="I570" s="69">
        <v>0.13157894736842099</v>
      </c>
      <c r="J570" s="68">
        <v>0.146979607541362</v>
      </c>
      <c r="K570" s="67">
        <v>0.187559610201119</v>
      </c>
      <c r="L570" s="66">
        <v>0.217831813576494</v>
      </c>
    </row>
    <row r="571" spans="2:12" outlineLevel="1" x14ac:dyDescent="0.2">
      <c r="B571" s="39" t="s">
        <v>133</v>
      </c>
      <c r="C571" s="39" t="s">
        <v>142</v>
      </c>
      <c r="E571" s="65" t="s">
        <v>4</v>
      </c>
      <c r="F571" s="71">
        <v>2.85885057471264</v>
      </c>
      <c r="G571" s="72">
        <v>3.61577350859453</v>
      </c>
      <c r="H571" s="73">
        <v>4.4463118580765597</v>
      </c>
      <c r="I571" s="74">
        <v>4.8</v>
      </c>
      <c r="J571" s="73">
        <v>5.2450090744101603</v>
      </c>
      <c r="K571" s="72">
        <v>7.1415559772295998</v>
      </c>
      <c r="L571" s="71">
        <v>8.8045774647887303</v>
      </c>
    </row>
    <row r="572" spans="2:12" outlineLevel="1" x14ac:dyDescent="0.2">
      <c r="B572" s="39" t="s">
        <v>133</v>
      </c>
      <c r="C572" s="39" t="s">
        <v>142</v>
      </c>
      <c r="E572" s="70" t="s">
        <v>14</v>
      </c>
      <c r="F572" s="71">
        <v>1.3670009236046901</v>
      </c>
      <c r="G572" s="72">
        <v>1.74543880264704</v>
      </c>
      <c r="H572" s="73">
        <v>2.2536879955744</v>
      </c>
      <c r="I572" s="74">
        <v>2.5263157894736801</v>
      </c>
      <c r="J572" s="73">
        <v>2.60326400924321</v>
      </c>
      <c r="K572" s="72">
        <v>3.6029262536873099</v>
      </c>
      <c r="L572" s="71">
        <v>4.0573644842552401</v>
      </c>
    </row>
    <row r="573" spans="2:12" outlineLevel="1" x14ac:dyDescent="0.2">
      <c r="B573" s="39" t="s">
        <v>133</v>
      </c>
      <c r="C573" s="39" t="s">
        <v>142</v>
      </c>
      <c r="E573" s="65" t="s">
        <v>343</v>
      </c>
      <c r="F573" s="78">
        <v>31495.873968492098</v>
      </c>
      <c r="G573" s="79">
        <v>46646.739130434697</v>
      </c>
      <c r="H573" s="80">
        <v>54460.201755535098</v>
      </c>
      <c r="I573" s="81">
        <v>56842.386363636302</v>
      </c>
      <c r="J573" s="80">
        <v>59464.769647696397</v>
      </c>
      <c r="K573" s="79">
        <v>69346.955022488706</v>
      </c>
      <c r="L573" s="78">
        <v>84057.2</v>
      </c>
    </row>
    <row r="574" spans="2:12" outlineLevel="1" x14ac:dyDescent="0.2">
      <c r="B574" s="39" t="s">
        <v>133</v>
      </c>
      <c r="C574" s="39" t="s">
        <v>142</v>
      </c>
      <c r="E574" s="65" t="s">
        <v>344</v>
      </c>
      <c r="F574" s="78">
        <v>33102.163540885202</v>
      </c>
      <c r="G574" s="79">
        <v>49025.722826086901</v>
      </c>
      <c r="H574" s="80">
        <v>57237.672045067397</v>
      </c>
      <c r="I574" s="81">
        <v>59741.348068181796</v>
      </c>
      <c r="J574" s="80">
        <v>62497.472899728898</v>
      </c>
      <c r="K574" s="79">
        <v>72883.649728635603</v>
      </c>
      <c r="L574" s="78">
        <v>88344.117199999993</v>
      </c>
    </row>
    <row r="575" spans="2:12" outlineLevel="1" x14ac:dyDescent="0.2">
      <c r="B575" s="39" t="s">
        <v>133</v>
      </c>
      <c r="C575" s="39" t="s">
        <v>142</v>
      </c>
      <c r="E575" s="65" t="s">
        <v>353</v>
      </c>
      <c r="F575" s="78">
        <v>34802.940735183802</v>
      </c>
      <c r="G575" s="79">
        <v>51544.646739130403</v>
      </c>
      <c r="H575" s="80">
        <v>60178.5229398663</v>
      </c>
      <c r="I575" s="81">
        <v>62810.836931818099</v>
      </c>
      <c r="J575" s="80">
        <v>65708.570460704606</v>
      </c>
      <c r="K575" s="79">
        <v>76628.385299849993</v>
      </c>
      <c r="L575" s="78">
        <v>92883.205999999904</v>
      </c>
    </row>
    <row r="576" spans="2:12" outlineLevel="1" x14ac:dyDescent="0.2">
      <c r="B576" s="39" t="s">
        <v>133</v>
      </c>
      <c r="C576" s="39" t="s">
        <v>142</v>
      </c>
      <c r="E576" s="65" t="s">
        <v>354</v>
      </c>
      <c r="F576" s="78">
        <v>35243.882970742598</v>
      </c>
      <c r="G576" s="79">
        <v>52197.701086956498</v>
      </c>
      <c r="H576" s="80">
        <v>60940.965764443798</v>
      </c>
      <c r="I576" s="81">
        <v>63606.630340909003</v>
      </c>
      <c r="J576" s="80">
        <v>66541.077235772304</v>
      </c>
      <c r="K576" s="79">
        <v>77599.242670164895</v>
      </c>
      <c r="L576" s="78">
        <v>94060.006799999901</v>
      </c>
    </row>
    <row r="577" spans="1:12" outlineLevel="1" x14ac:dyDescent="0.2"/>
    <row r="578" spans="1:12" x14ac:dyDescent="0.2">
      <c r="A578" s="59">
        <v>269</v>
      </c>
      <c r="B578" s="39" t="s">
        <v>133</v>
      </c>
      <c r="C578" s="39" t="s">
        <v>143</v>
      </c>
      <c r="E578" s="153" t="s">
        <v>208</v>
      </c>
    </row>
    <row r="579" spans="1:12" outlineLevel="1" x14ac:dyDescent="0.2">
      <c r="B579" s="39" t="s">
        <v>133</v>
      </c>
      <c r="C579" s="39" t="s">
        <v>143</v>
      </c>
      <c r="E579" s="65" t="s">
        <v>338</v>
      </c>
      <c r="F579" s="66">
        <v>0.28960814271702801</v>
      </c>
      <c r="G579" s="67">
        <v>0.34051198699715501</v>
      </c>
      <c r="H579" s="68">
        <v>0.39053310928080098</v>
      </c>
      <c r="I579" s="69">
        <v>0.42635025953900002</v>
      </c>
      <c r="J579" s="68">
        <v>0.461289054421401</v>
      </c>
      <c r="K579" s="67">
        <v>0.52335564849619598</v>
      </c>
      <c r="L579" s="66">
        <v>0.56900611555643099</v>
      </c>
    </row>
    <row r="580" spans="1:12" outlineLevel="1" x14ac:dyDescent="0.2">
      <c r="B580" s="39" t="s">
        <v>133</v>
      </c>
      <c r="C580" s="39" t="s">
        <v>143</v>
      </c>
      <c r="E580" s="65" t="s">
        <v>339</v>
      </c>
      <c r="F580" s="66">
        <v>0.29994790980660002</v>
      </c>
      <c r="G580" s="67">
        <v>0.35176923464036502</v>
      </c>
      <c r="H580" s="68">
        <v>0.402434925553385</v>
      </c>
      <c r="I580" s="69">
        <v>0.43855814454971698</v>
      </c>
      <c r="J580" s="68">
        <v>0.47367132687439101</v>
      </c>
      <c r="K580" s="67">
        <v>0.53574708709546504</v>
      </c>
      <c r="L580" s="66">
        <v>0.58116021906173299</v>
      </c>
    </row>
    <row r="581" spans="1:12" outlineLevel="1" x14ac:dyDescent="0.2">
      <c r="B581" s="39" t="s">
        <v>133</v>
      </c>
      <c r="C581" s="39" t="s">
        <v>143</v>
      </c>
      <c r="E581" s="65" t="s">
        <v>351</v>
      </c>
      <c r="F581" s="66">
        <v>0.31057280700494699</v>
      </c>
      <c r="G581" s="67">
        <v>0.363277219604627</v>
      </c>
      <c r="H581" s="68">
        <v>0.41454044982215599</v>
      </c>
      <c r="I581" s="69">
        <v>0.45093027949237402</v>
      </c>
      <c r="J581" s="68">
        <v>0.48617628620438802</v>
      </c>
      <c r="K581" s="67">
        <v>0.54818399653320504</v>
      </c>
      <c r="L581" s="66">
        <v>0.59330375268784996</v>
      </c>
    </row>
    <row r="582" spans="1:12" outlineLevel="1" x14ac:dyDescent="0.2">
      <c r="B582" s="39" t="s">
        <v>133</v>
      </c>
      <c r="C582" s="39" t="s">
        <v>143</v>
      </c>
      <c r="E582" s="65" t="s">
        <v>352</v>
      </c>
      <c r="F582" s="66">
        <v>0.31327496979673602</v>
      </c>
      <c r="G582" s="67">
        <v>0.36619437799183102</v>
      </c>
      <c r="H582" s="68">
        <v>0.41759927445781397</v>
      </c>
      <c r="I582" s="69">
        <v>0.45404936640395499</v>
      </c>
      <c r="J582" s="68">
        <v>0.48932190980863499</v>
      </c>
      <c r="K582" s="67">
        <v>0.55130035805492705</v>
      </c>
      <c r="L582" s="66">
        <v>0.59633798630644397</v>
      </c>
    </row>
    <row r="583" spans="1:12" outlineLevel="1" x14ac:dyDescent="0.2">
      <c r="B583" s="39" t="s">
        <v>133</v>
      </c>
      <c r="C583" s="39" t="s">
        <v>143</v>
      </c>
      <c r="E583" s="65" t="s">
        <v>104</v>
      </c>
      <c r="F583" s="69"/>
      <c r="G583" s="69"/>
      <c r="H583" s="68">
        <v>2.4522892140351402E-2</v>
      </c>
      <c r="I583" s="69">
        <v>3.76104729865194E-2</v>
      </c>
      <c r="J583" s="68">
        <v>5.3855339018543703E-2</v>
      </c>
      <c r="K583" s="67">
        <v>8.7172218284904304E-2</v>
      </c>
      <c r="L583" s="66">
        <v>0.117931945386808</v>
      </c>
    </row>
    <row r="584" spans="1:12" outlineLevel="1" x14ac:dyDescent="0.2">
      <c r="B584" s="39" t="s">
        <v>133</v>
      </c>
      <c r="C584" s="39" t="s">
        <v>143</v>
      </c>
      <c r="E584" s="65" t="s">
        <v>105</v>
      </c>
      <c r="F584" s="69"/>
      <c r="G584" s="69"/>
      <c r="H584" s="68">
        <v>0.15943115851456799</v>
      </c>
      <c r="I584" s="69">
        <v>0.185697507804613</v>
      </c>
      <c r="J584" s="68">
        <v>0.200112697220135</v>
      </c>
      <c r="K584" s="67">
        <v>0.24557723277690899</v>
      </c>
      <c r="L584" s="66">
        <v>0.28164666135140098</v>
      </c>
    </row>
    <row r="585" spans="1:12" outlineLevel="1" x14ac:dyDescent="0.2">
      <c r="B585" s="39" t="s">
        <v>133</v>
      </c>
      <c r="C585" s="39" t="s">
        <v>143</v>
      </c>
      <c r="E585" s="65" t="s">
        <v>106</v>
      </c>
      <c r="F585" s="69"/>
      <c r="G585" s="69"/>
      <c r="H585" s="69"/>
      <c r="I585" s="69">
        <v>1.7477628443432099E-2</v>
      </c>
      <c r="J585" s="69"/>
      <c r="K585" s="67">
        <v>6.59834522174471E-2</v>
      </c>
      <c r="L585" s="66">
        <v>8.7068917291781595E-2</v>
      </c>
    </row>
    <row r="586" spans="1:12" outlineLevel="1" x14ac:dyDescent="0.2">
      <c r="B586" s="39" t="s">
        <v>133</v>
      </c>
      <c r="C586" s="39" t="s">
        <v>143</v>
      </c>
      <c r="E586" s="65" t="s">
        <v>107</v>
      </c>
      <c r="F586" s="69"/>
      <c r="G586" s="69"/>
      <c r="H586" s="69"/>
      <c r="I586" s="69">
        <v>2.0118797246833301E-2</v>
      </c>
      <c r="J586" s="69"/>
      <c r="K586" s="67">
        <v>3.5882859944625298E-2</v>
      </c>
      <c r="L586" s="66">
        <v>5.1859196933217201E-2</v>
      </c>
    </row>
    <row r="587" spans="1:12" outlineLevel="1" x14ac:dyDescent="0.2">
      <c r="B587" s="39" t="s">
        <v>133</v>
      </c>
      <c r="C587" s="39" t="s">
        <v>143</v>
      </c>
      <c r="E587" s="65" t="s">
        <v>108</v>
      </c>
      <c r="F587" s="69"/>
      <c r="G587" s="69"/>
      <c r="H587" s="69"/>
      <c r="I587" s="69">
        <v>7.0902818478191201E-2</v>
      </c>
      <c r="J587" s="69"/>
      <c r="K587" s="67">
        <v>0.10522554860366699</v>
      </c>
      <c r="L587" s="66">
        <v>0.12944235054413999</v>
      </c>
    </row>
    <row r="588" spans="1:12" outlineLevel="1" x14ac:dyDescent="0.2">
      <c r="B588" s="39" t="s">
        <v>133</v>
      </c>
      <c r="C588" s="39" t="s">
        <v>143</v>
      </c>
      <c r="E588" s="65" t="s">
        <v>109</v>
      </c>
      <c r="F588" s="66">
        <v>2.09488823181955E-2</v>
      </c>
      <c r="G588" s="67">
        <v>2.5837957745601201E-2</v>
      </c>
      <c r="H588" s="68">
        <v>3.6685794944079697E-2</v>
      </c>
      <c r="I588" s="69">
        <v>4.3876441818798302E-2</v>
      </c>
      <c r="J588" s="68">
        <v>5.2631578947368397E-2</v>
      </c>
      <c r="K588" s="69"/>
      <c r="L588" s="69"/>
    </row>
    <row r="589" spans="1:12" outlineLevel="1" x14ac:dyDescent="0.2">
      <c r="B589" s="39" t="s">
        <v>133</v>
      </c>
      <c r="C589" s="39" t="s">
        <v>143</v>
      </c>
      <c r="E589" s="65" t="s">
        <v>110</v>
      </c>
      <c r="F589" s="69"/>
      <c r="G589" s="69"/>
      <c r="H589" s="69"/>
      <c r="I589" s="69">
        <v>8.1898817587462806E-3</v>
      </c>
      <c r="J589" s="69"/>
      <c r="K589" s="67">
        <v>1.19968101615931E-2</v>
      </c>
      <c r="L589" s="66">
        <v>1.5058288978681901E-2</v>
      </c>
    </row>
    <row r="590" spans="1:12" outlineLevel="1" x14ac:dyDescent="0.2">
      <c r="B590" s="39" t="s">
        <v>133</v>
      </c>
      <c r="C590" s="39" t="s">
        <v>143</v>
      </c>
      <c r="E590" s="65" t="s">
        <v>34</v>
      </c>
      <c r="F590" s="69"/>
      <c r="G590" s="69"/>
      <c r="H590" s="68">
        <v>8.6419753086419707E-2</v>
      </c>
      <c r="I590" s="69">
        <v>9.9255583126550806E-2</v>
      </c>
      <c r="J590" s="68">
        <v>0.11214953271028</v>
      </c>
      <c r="K590" s="67">
        <v>0.14388489208633001</v>
      </c>
      <c r="L590" s="66">
        <v>0.18633540372670801</v>
      </c>
    </row>
    <row r="591" spans="1:12" outlineLevel="1" x14ac:dyDescent="0.2">
      <c r="B591" s="39" t="s">
        <v>133</v>
      </c>
      <c r="C591" s="39" t="s">
        <v>143</v>
      </c>
      <c r="E591" s="65" t="s">
        <v>4</v>
      </c>
      <c r="F591" s="71">
        <v>3.02325581395348</v>
      </c>
      <c r="G591" s="72">
        <v>3.6956521739130399</v>
      </c>
      <c r="H591" s="73">
        <v>4.7317073170731696</v>
      </c>
      <c r="I591" s="74">
        <v>5.3076923076923004</v>
      </c>
      <c r="J591" s="73">
        <v>5.75</v>
      </c>
      <c r="K591" s="72">
        <v>7.6041666666666599</v>
      </c>
      <c r="L591" s="71">
        <v>9.2936802973977706</v>
      </c>
    </row>
    <row r="592" spans="1:12" outlineLevel="1" x14ac:dyDescent="0.2">
      <c r="B592" s="39" t="s">
        <v>133</v>
      </c>
      <c r="C592" s="39" t="s">
        <v>143</v>
      </c>
      <c r="E592" s="70" t="s">
        <v>14</v>
      </c>
      <c r="F592" s="71">
        <v>1.29943502824858</v>
      </c>
      <c r="G592" s="72">
        <v>1.6428571428571399</v>
      </c>
      <c r="H592" s="73">
        <v>2.1674876847290601</v>
      </c>
      <c r="I592" s="74">
        <v>2.3949579831932701</v>
      </c>
      <c r="J592" s="73">
        <v>2.6136363636363602</v>
      </c>
      <c r="K592" s="72">
        <v>3.25</v>
      </c>
      <c r="L592" s="71">
        <v>3.8</v>
      </c>
    </row>
    <row r="593" spans="1:12" outlineLevel="1" x14ac:dyDescent="0.2">
      <c r="B593" s="39" t="s">
        <v>133</v>
      </c>
      <c r="C593" s="39" t="s">
        <v>143</v>
      </c>
      <c r="E593" s="65" t="s">
        <v>343</v>
      </c>
      <c r="F593" s="78">
        <v>43931.090909090897</v>
      </c>
      <c r="G593" s="79">
        <v>47779.642857142797</v>
      </c>
      <c r="H593" s="80">
        <v>52796.292564980802</v>
      </c>
      <c r="I593" s="81">
        <v>54542.708333333299</v>
      </c>
      <c r="J593" s="80">
        <v>56254.838709677402</v>
      </c>
      <c r="K593" s="79">
        <v>61790</v>
      </c>
      <c r="L593" s="78">
        <v>73571.428571428507</v>
      </c>
    </row>
    <row r="594" spans="1:12" outlineLevel="1" x14ac:dyDescent="0.2">
      <c r="B594" s="39" t="s">
        <v>133</v>
      </c>
      <c r="C594" s="39" t="s">
        <v>143</v>
      </c>
      <c r="E594" s="65" t="s">
        <v>344</v>
      </c>
      <c r="F594" s="78">
        <v>46171.576545454504</v>
      </c>
      <c r="G594" s="79">
        <v>50216.404642857102</v>
      </c>
      <c r="H594" s="80">
        <v>55488.903485794799</v>
      </c>
      <c r="I594" s="81">
        <v>57324.386458333298</v>
      </c>
      <c r="J594" s="80">
        <v>59123.835483870898</v>
      </c>
      <c r="K594" s="79">
        <v>64941.29</v>
      </c>
      <c r="L594" s="78">
        <v>77323.571428571406</v>
      </c>
    </row>
    <row r="595" spans="1:12" outlineLevel="1" x14ac:dyDescent="0.2">
      <c r="B595" s="39" t="s">
        <v>133</v>
      </c>
      <c r="C595" s="39" t="s">
        <v>143</v>
      </c>
      <c r="E595" s="65" t="s">
        <v>353</v>
      </c>
      <c r="F595" s="78">
        <v>48543.855454545403</v>
      </c>
      <c r="G595" s="79">
        <v>52796.5053571428</v>
      </c>
      <c r="H595" s="80">
        <v>58339.9032843038</v>
      </c>
      <c r="I595" s="81">
        <v>60269.692708333299</v>
      </c>
      <c r="J595" s="80">
        <v>62161.596774193502</v>
      </c>
      <c r="K595" s="79">
        <v>68277.95</v>
      </c>
      <c r="L595" s="78">
        <v>81296.428571428507</v>
      </c>
    </row>
    <row r="596" spans="1:12" outlineLevel="1" x14ac:dyDescent="0.2">
      <c r="B596" s="39" t="s">
        <v>133</v>
      </c>
      <c r="C596" s="39" t="s">
        <v>143</v>
      </c>
      <c r="E596" s="65" t="s">
        <v>354</v>
      </c>
      <c r="F596" s="78">
        <v>49158.890727272701</v>
      </c>
      <c r="G596" s="79">
        <v>53465.420357142801</v>
      </c>
      <c r="H596" s="80">
        <v>59079.051380213503</v>
      </c>
      <c r="I596" s="81">
        <v>61033.290625000001</v>
      </c>
      <c r="J596" s="80">
        <v>62949.164516129</v>
      </c>
      <c r="K596" s="79">
        <v>69143.009999999995</v>
      </c>
      <c r="L596" s="78">
        <v>82326.428571428507</v>
      </c>
    </row>
    <row r="597" spans="1:12" outlineLevel="1" x14ac:dyDescent="0.2"/>
    <row r="598" spans="1:12" x14ac:dyDescent="0.2">
      <c r="A598" s="59">
        <v>47</v>
      </c>
      <c r="B598" s="39" t="s">
        <v>22</v>
      </c>
      <c r="C598" s="39" t="s">
        <v>142</v>
      </c>
      <c r="E598" s="153" t="s">
        <v>209</v>
      </c>
    </row>
    <row r="599" spans="1:12" outlineLevel="1" x14ac:dyDescent="0.2">
      <c r="B599" s="39" t="s">
        <v>22</v>
      </c>
      <c r="C599" s="39" t="s">
        <v>142</v>
      </c>
      <c r="E599" s="65" t="s">
        <v>338</v>
      </c>
      <c r="F599" s="66">
        <v>0.45</v>
      </c>
      <c r="G599" s="67">
        <v>0.45900000000000002</v>
      </c>
      <c r="H599" s="68">
        <v>0.50600000000000001</v>
      </c>
      <c r="I599" s="69">
        <v>0.52600000000000002</v>
      </c>
      <c r="J599" s="68">
        <v>0.54800000000000004</v>
      </c>
      <c r="K599" s="67">
        <v>0.58299999999999996</v>
      </c>
      <c r="L599" s="66">
        <v>0.59499999999999997</v>
      </c>
    </row>
    <row r="600" spans="1:12" outlineLevel="1" x14ac:dyDescent="0.2">
      <c r="B600" s="39" t="s">
        <v>22</v>
      </c>
      <c r="C600" s="39" t="s">
        <v>142</v>
      </c>
      <c r="E600" s="65" t="s">
        <v>339</v>
      </c>
      <c r="F600" s="66">
        <v>0.46200000000000002</v>
      </c>
      <c r="G600" s="67">
        <v>0.47200000000000003</v>
      </c>
      <c r="H600" s="68">
        <v>0.51900000000000002</v>
      </c>
      <c r="I600" s="69">
        <v>0.53800000000000003</v>
      </c>
      <c r="J600" s="68">
        <v>0.56100000000000005</v>
      </c>
      <c r="K600" s="67">
        <v>0.59499999999999997</v>
      </c>
      <c r="L600" s="66">
        <v>0.60699999999999998</v>
      </c>
    </row>
    <row r="601" spans="1:12" outlineLevel="1" x14ac:dyDescent="0.2">
      <c r="B601" s="39" t="s">
        <v>22</v>
      </c>
      <c r="C601" s="39" t="s">
        <v>142</v>
      </c>
      <c r="E601" s="65" t="s">
        <v>351</v>
      </c>
      <c r="F601" s="66">
        <v>0.47500000000000003</v>
      </c>
      <c r="G601" s="67">
        <v>0.48399999999999999</v>
      </c>
      <c r="H601" s="68">
        <v>0.53100000000000003</v>
      </c>
      <c r="I601" s="69">
        <v>0.55100000000000005</v>
      </c>
      <c r="J601" s="68">
        <v>0.57300000000000006</v>
      </c>
      <c r="K601" s="67">
        <v>0.60699999999999998</v>
      </c>
      <c r="L601" s="66">
        <v>0.61899999999999999</v>
      </c>
    </row>
    <row r="602" spans="1:12" outlineLevel="1" x14ac:dyDescent="0.2">
      <c r="B602" s="39" t="s">
        <v>22</v>
      </c>
      <c r="C602" s="39" t="s">
        <v>142</v>
      </c>
      <c r="E602" s="65" t="s">
        <v>352</v>
      </c>
      <c r="F602" s="66">
        <v>0.47800000000000004</v>
      </c>
      <c r="G602" s="67">
        <v>0.48699999999999999</v>
      </c>
      <c r="H602" s="68">
        <v>0.53400000000000003</v>
      </c>
      <c r="I602" s="69">
        <v>0.55400000000000005</v>
      </c>
      <c r="J602" s="68">
        <v>0.57600000000000007</v>
      </c>
      <c r="K602" s="67">
        <v>0.61</v>
      </c>
      <c r="L602" s="66">
        <v>0.622</v>
      </c>
    </row>
    <row r="603" spans="1:12" outlineLevel="1" x14ac:dyDescent="0.2">
      <c r="B603" s="39" t="s">
        <v>22</v>
      </c>
      <c r="C603" s="39" t="s">
        <v>142</v>
      </c>
      <c r="E603" s="65" t="s">
        <v>104</v>
      </c>
      <c r="F603" s="69"/>
      <c r="G603" s="69"/>
      <c r="H603" s="68">
        <v>1.6E-2</v>
      </c>
      <c r="I603" s="69">
        <v>2.1000000000000001E-2</v>
      </c>
      <c r="J603" s="68">
        <v>0.03</v>
      </c>
      <c r="K603" s="67">
        <v>4.5999999999999999E-2</v>
      </c>
      <c r="L603" s="66">
        <v>5.5E-2</v>
      </c>
    </row>
    <row r="604" spans="1:12" outlineLevel="1" x14ac:dyDescent="0.2">
      <c r="B604" s="39" t="s">
        <v>22</v>
      </c>
      <c r="C604" s="39" t="s">
        <v>142</v>
      </c>
      <c r="E604" s="65" t="s">
        <v>105</v>
      </c>
      <c r="F604" s="69"/>
      <c r="G604" s="69"/>
      <c r="H604" s="68">
        <v>9.6000000000000002E-2</v>
      </c>
      <c r="I604" s="69">
        <v>0.107</v>
      </c>
      <c r="J604" s="68">
        <v>0.114</v>
      </c>
      <c r="K604" s="67">
        <v>0.14899999999999999</v>
      </c>
      <c r="L604" s="66">
        <v>0.16600000000000001</v>
      </c>
    </row>
    <row r="605" spans="1:12" outlineLevel="1" x14ac:dyDescent="0.2">
      <c r="B605" s="39" t="s">
        <v>22</v>
      </c>
      <c r="C605" s="39" t="s">
        <v>142</v>
      </c>
      <c r="E605" s="65" t="s">
        <v>106</v>
      </c>
      <c r="F605" s="69"/>
      <c r="G605" s="69"/>
      <c r="H605" s="69"/>
      <c r="I605" s="69">
        <v>7.0000000000000007E-2</v>
      </c>
      <c r="J605" s="69"/>
      <c r="K605" s="67">
        <v>9.8000000000000004E-2</v>
      </c>
      <c r="L605" s="66">
        <v>0.11700000000000001</v>
      </c>
    </row>
    <row r="606" spans="1:12" outlineLevel="1" x14ac:dyDescent="0.2">
      <c r="B606" s="39" t="s">
        <v>22</v>
      </c>
      <c r="C606" s="39" t="s">
        <v>142</v>
      </c>
      <c r="E606" s="65" t="s">
        <v>107</v>
      </c>
      <c r="F606" s="69"/>
      <c r="G606" s="69"/>
      <c r="H606" s="69"/>
      <c r="I606" s="69">
        <v>1.9E-2</v>
      </c>
      <c r="J606" s="69"/>
      <c r="K606" s="67">
        <v>3.3000000000000002E-2</v>
      </c>
      <c r="L606" s="66">
        <v>4.1000000000000002E-2</v>
      </c>
    </row>
    <row r="607" spans="1:12" outlineLevel="1" x14ac:dyDescent="0.2">
      <c r="B607" s="39" t="s">
        <v>22</v>
      </c>
      <c r="C607" s="39" t="s">
        <v>142</v>
      </c>
      <c r="E607" s="65" t="s">
        <v>108</v>
      </c>
      <c r="F607" s="69"/>
      <c r="G607" s="69"/>
      <c r="H607" s="69"/>
      <c r="I607" s="69">
        <v>4.8000000000000001E-2</v>
      </c>
      <c r="J607" s="69"/>
      <c r="K607" s="67">
        <v>7.2999999999999995E-2</v>
      </c>
      <c r="L607" s="66">
        <v>0.11</v>
      </c>
    </row>
    <row r="608" spans="1:12" outlineLevel="1" x14ac:dyDescent="0.2">
      <c r="B608" s="39" t="s">
        <v>22</v>
      </c>
      <c r="C608" s="39" t="s">
        <v>142</v>
      </c>
      <c r="E608" s="65" t="s">
        <v>109</v>
      </c>
      <c r="F608" s="66">
        <v>3.2000000000000001E-2</v>
      </c>
      <c r="G608" s="67">
        <v>3.6000000000000004E-2</v>
      </c>
      <c r="H608" s="68">
        <v>4.3000000000000003E-2</v>
      </c>
      <c r="I608" s="69">
        <v>0.05</v>
      </c>
      <c r="J608" s="68">
        <v>5.8000000000000003E-2</v>
      </c>
      <c r="K608" s="69"/>
      <c r="L608" s="69"/>
    </row>
    <row r="609" spans="1:12" outlineLevel="1" x14ac:dyDescent="0.2">
      <c r="B609" s="39" t="s">
        <v>22</v>
      </c>
      <c r="C609" s="39" t="s">
        <v>142</v>
      </c>
      <c r="E609" s="65" t="s">
        <v>110</v>
      </c>
      <c r="F609" s="69"/>
      <c r="G609" s="69"/>
      <c r="H609" s="69"/>
      <c r="I609" s="69">
        <v>1.4999999999999999E-2</v>
      </c>
      <c r="J609" s="69"/>
      <c r="K609" s="67">
        <v>2.1999999999999999E-2</v>
      </c>
      <c r="L609" s="66">
        <v>2.3E-2</v>
      </c>
    </row>
    <row r="610" spans="1:12" outlineLevel="1" x14ac:dyDescent="0.2">
      <c r="B610" s="39" t="s">
        <v>22</v>
      </c>
      <c r="C610" s="39" t="s">
        <v>142</v>
      </c>
      <c r="E610" s="65" t="s">
        <v>34</v>
      </c>
      <c r="F610" s="69"/>
      <c r="G610" s="69"/>
      <c r="H610" s="68">
        <v>7.2999999999999995E-2</v>
      </c>
      <c r="I610" s="69">
        <v>7.5999999999999998E-2</v>
      </c>
      <c r="J610" s="68">
        <v>7.9000000000000001E-2</v>
      </c>
      <c r="K610" s="67">
        <v>9.9000000000000005E-2</v>
      </c>
      <c r="L610" s="66">
        <v>0.111</v>
      </c>
    </row>
    <row r="611" spans="1:12" outlineLevel="1" x14ac:dyDescent="0.2">
      <c r="B611" s="39" t="s">
        <v>22</v>
      </c>
      <c r="C611" s="39" t="s">
        <v>142</v>
      </c>
      <c r="E611" s="65" t="s">
        <v>4</v>
      </c>
      <c r="F611" s="71">
        <v>13.8</v>
      </c>
      <c r="G611" s="72">
        <v>14.5</v>
      </c>
      <c r="H611" s="73">
        <v>15.4</v>
      </c>
      <c r="I611" s="74">
        <v>15.8</v>
      </c>
      <c r="J611" s="73">
        <v>16.400000000000002</v>
      </c>
      <c r="K611" s="72">
        <v>18.3</v>
      </c>
      <c r="L611" s="71">
        <v>19.400000000000002</v>
      </c>
    </row>
    <row r="612" spans="1:12" outlineLevel="1" x14ac:dyDescent="0.2">
      <c r="B612" s="39" t="s">
        <v>22</v>
      </c>
      <c r="C612" s="39" t="s">
        <v>142</v>
      </c>
      <c r="E612" s="65" t="s">
        <v>14</v>
      </c>
      <c r="F612" s="71">
        <v>7.9</v>
      </c>
      <c r="G612" s="72">
        <v>8.3000000000000007</v>
      </c>
      <c r="H612" s="73">
        <v>8.6</v>
      </c>
      <c r="I612" s="74">
        <v>9.1</v>
      </c>
      <c r="J612" s="73">
        <v>9.8000000000000007</v>
      </c>
      <c r="K612" s="72">
        <v>10.600000000000001</v>
      </c>
      <c r="L612" s="71">
        <v>11.100000000000001</v>
      </c>
    </row>
    <row r="613" spans="1:12" outlineLevel="1" x14ac:dyDescent="0.2">
      <c r="B613" s="39" t="s">
        <v>22</v>
      </c>
      <c r="C613" s="39" t="s">
        <v>142</v>
      </c>
      <c r="E613" s="65" t="s">
        <v>0</v>
      </c>
      <c r="F613" s="71">
        <v>20.200000000000003</v>
      </c>
      <c r="G613" s="72">
        <v>21.700000000000003</v>
      </c>
      <c r="H613" s="73">
        <v>22.8</v>
      </c>
      <c r="I613" s="74">
        <v>23.6</v>
      </c>
      <c r="J613" s="73">
        <v>24.400000000000002</v>
      </c>
      <c r="K613" s="72">
        <v>25.3</v>
      </c>
      <c r="L613" s="71">
        <v>26.5</v>
      </c>
    </row>
    <row r="614" spans="1:12" outlineLevel="1" x14ac:dyDescent="0.2">
      <c r="B614" s="39" t="s">
        <v>22</v>
      </c>
      <c r="C614" s="39" t="s">
        <v>142</v>
      </c>
      <c r="E614" s="65" t="s">
        <v>343</v>
      </c>
      <c r="F614" s="78">
        <v>50628</v>
      </c>
      <c r="G614" s="79">
        <v>53487</v>
      </c>
      <c r="H614" s="80">
        <v>56045</v>
      </c>
      <c r="I614" s="81">
        <v>57318</v>
      </c>
      <c r="J614" s="80">
        <v>58692</v>
      </c>
      <c r="K614" s="79">
        <v>63297</v>
      </c>
      <c r="L614" s="78">
        <v>65568</v>
      </c>
    </row>
    <row r="615" spans="1:12" outlineLevel="1" x14ac:dyDescent="0.2">
      <c r="B615" s="39" t="s">
        <v>22</v>
      </c>
      <c r="C615" s="39" t="s">
        <v>142</v>
      </c>
      <c r="E615" s="65" t="s">
        <v>344</v>
      </c>
      <c r="F615" s="78">
        <v>53210</v>
      </c>
      <c r="G615" s="79">
        <v>56215</v>
      </c>
      <c r="H615" s="80">
        <v>58903</v>
      </c>
      <c r="I615" s="81">
        <v>60241</v>
      </c>
      <c r="J615" s="80">
        <v>61686</v>
      </c>
      <c r="K615" s="79">
        <v>66525</v>
      </c>
      <c r="L615" s="78">
        <v>68912</v>
      </c>
    </row>
    <row r="616" spans="1:12" outlineLevel="1" x14ac:dyDescent="0.2">
      <c r="B616" s="39" t="s">
        <v>22</v>
      </c>
      <c r="C616" s="39" t="s">
        <v>142</v>
      </c>
      <c r="E616" s="65" t="s">
        <v>353</v>
      </c>
      <c r="F616" s="78">
        <v>55944</v>
      </c>
      <c r="G616" s="79">
        <v>59103</v>
      </c>
      <c r="H616" s="80">
        <v>61930</v>
      </c>
      <c r="I616" s="81">
        <v>63336</v>
      </c>
      <c r="J616" s="80">
        <v>64855</v>
      </c>
      <c r="K616" s="79">
        <v>69943</v>
      </c>
      <c r="L616" s="78">
        <v>72453</v>
      </c>
    </row>
    <row r="617" spans="1:12" outlineLevel="1" x14ac:dyDescent="0.2">
      <c r="B617" s="39" t="s">
        <v>22</v>
      </c>
      <c r="C617" s="39" t="s">
        <v>142</v>
      </c>
      <c r="E617" s="65" t="s">
        <v>354</v>
      </c>
      <c r="F617" s="78">
        <v>56653</v>
      </c>
      <c r="G617" s="79">
        <v>59852</v>
      </c>
      <c r="H617" s="80">
        <v>62714</v>
      </c>
      <c r="I617" s="81">
        <v>64138</v>
      </c>
      <c r="J617" s="80">
        <v>65677</v>
      </c>
      <c r="K617" s="79">
        <v>70829</v>
      </c>
      <c r="L617" s="78">
        <v>73371</v>
      </c>
    </row>
    <row r="618" spans="1:12" outlineLevel="1" x14ac:dyDescent="0.2"/>
    <row r="619" spans="1:12" x14ac:dyDescent="0.2">
      <c r="A619" s="59">
        <v>96</v>
      </c>
      <c r="B619" s="39" t="s">
        <v>22</v>
      </c>
      <c r="C619" s="39" t="s">
        <v>143</v>
      </c>
      <c r="E619" s="153" t="s">
        <v>210</v>
      </c>
    </row>
    <row r="620" spans="1:12" outlineLevel="1" x14ac:dyDescent="0.2">
      <c r="B620" s="39" t="s">
        <v>22</v>
      </c>
      <c r="C620" s="39" t="s">
        <v>143</v>
      </c>
      <c r="E620" s="65" t="s">
        <v>338</v>
      </c>
      <c r="F620" s="66">
        <v>0.41500000000000004</v>
      </c>
      <c r="G620" s="67">
        <v>0.45</v>
      </c>
      <c r="H620" s="68">
        <v>0.48</v>
      </c>
      <c r="I620" s="69">
        <v>0.496</v>
      </c>
      <c r="J620" s="68">
        <v>0.51300000000000001</v>
      </c>
      <c r="K620" s="67">
        <v>0.55500000000000005</v>
      </c>
      <c r="L620" s="66">
        <v>0.58499999999999996</v>
      </c>
    </row>
    <row r="621" spans="1:12" outlineLevel="1" x14ac:dyDescent="0.2">
      <c r="B621" s="39" t="s">
        <v>22</v>
      </c>
      <c r="C621" s="39" t="s">
        <v>143</v>
      </c>
      <c r="E621" s="65" t="s">
        <v>339</v>
      </c>
      <c r="F621" s="66">
        <v>0.42799999999999999</v>
      </c>
      <c r="G621" s="67">
        <v>0.46200000000000002</v>
      </c>
      <c r="H621" s="68">
        <v>0.49299999999999999</v>
      </c>
      <c r="I621" s="69">
        <v>0.50900000000000001</v>
      </c>
      <c r="J621" s="68">
        <v>0.52500000000000002</v>
      </c>
      <c r="K621" s="67">
        <v>0.56700000000000006</v>
      </c>
      <c r="L621" s="66">
        <v>0.59699999999999998</v>
      </c>
    </row>
    <row r="622" spans="1:12" outlineLevel="1" x14ac:dyDescent="0.2">
      <c r="B622" s="39" t="s">
        <v>22</v>
      </c>
      <c r="C622" s="39" t="s">
        <v>143</v>
      </c>
      <c r="E622" s="65" t="s">
        <v>351</v>
      </c>
      <c r="F622" s="66">
        <v>0.44</v>
      </c>
      <c r="G622" s="67">
        <v>0.47500000000000003</v>
      </c>
      <c r="H622" s="68">
        <v>0.505</v>
      </c>
      <c r="I622" s="69">
        <v>0.52100000000000002</v>
      </c>
      <c r="J622" s="68">
        <v>0.53800000000000003</v>
      </c>
      <c r="K622" s="67">
        <v>0.57999999999999996</v>
      </c>
      <c r="L622" s="66">
        <v>0.60899999999999999</v>
      </c>
    </row>
    <row r="623" spans="1:12" outlineLevel="1" x14ac:dyDescent="0.2">
      <c r="B623" s="39" t="s">
        <v>22</v>
      </c>
      <c r="C623" s="39" t="s">
        <v>143</v>
      </c>
      <c r="E623" s="65" t="s">
        <v>352</v>
      </c>
      <c r="F623" s="66">
        <v>0.443</v>
      </c>
      <c r="G623" s="67">
        <v>0.47800000000000004</v>
      </c>
      <c r="H623" s="68">
        <v>0.50800000000000001</v>
      </c>
      <c r="I623" s="69">
        <v>0.52500000000000002</v>
      </c>
      <c r="J623" s="68">
        <v>0.54100000000000004</v>
      </c>
      <c r="K623" s="67">
        <v>0.58299999999999996</v>
      </c>
      <c r="L623" s="66">
        <v>0.61199999999999999</v>
      </c>
    </row>
    <row r="624" spans="1:12" outlineLevel="1" x14ac:dyDescent="0.2">
      <c r="B624" s="39" t="s">
        <v>22</v>
      </c>
      <c r="C624" s="39" t="s">
        <v>143</v>
      </c>
      <c r="E624" s="65" t="s">
        <v>104</v>
      </c>
      <c r="F624" s="69"/>
      <c r="G624" s="69"/>
      <c r="H624" s="68">
        <v>1.3000000000000001E-2</v>
      </c>
      <c r="I624" s="69">
        <v>1.6E-2</v>
      </c>
      <c r="J624" s="68">
        <v>2.1999999999999999E-2</v>
      </c>
      <c r="K624" s="67">
        <v>3.6000000000000004E-2</v>
      </c>
      <c r="L624" s="66">
        <v>5.7000000000000002E-2</v>
      </c>
    </row>
    <row r="625" spans="1:12" outlineLevel="1" x14ac:dyDescent="0.2">
      <c r="B625" s="39" t="s">
        <v>22</v>
      </c>
      <c r="C625" s="39" t="s">
        <v>143</v>
      </c>
      <c r="E625" s="65" t="s">
        <v>105</v>
      </c>
      <c r="F625" s="69"/>
      <c r="G625" s="69"/>
      <c r="H625" s="68">
        <v>0.1</v>
      </c>
      <c r="I625" s="69">
        <v>0.113</v>
      </c>
      <c r="J625" s="68">
        <v>0.123</v>
      </c>
      <c r="K625" s="67">
        <v>0.15</v>
      </c>
      <c r="L625" s="66">
        <v>0.17500000000000002</v>
      </c>
    </row>
    <row r="626" spans="1:12" outlineLevel="1" x14ac:dyDescent="0.2">
      <c r="B626" s="39" t="s">
        <v>22</v>
      </c>
      <c r="C626" s="39" t="s">
        <v>143</v>
      </c>
      <c r="E626" s="65" t="s">
        <v>106</v>
      </c>
      <c r="F626" s="69"/>
      <c r="G626" s="69"/>
      <c r="H626" s="69"/>
      <c r="I626" s="69">
        <v>6.9000000000000006E-2</v>
      </c>
      <c r="J626" s="69"/>
      <c r="K626" s="67">
        <v>0.09</v>
      </c>
      <c r="L626" s="66">
        <v>0.11900000000000001</v>
      </c>
    </row>
    <row r="627" spans="1:12" outlineLevel="1" x14ac:dyDescent="0.2">
      <c r="B627" s="39" t="s">
        <v>22</v>
      </c>
      <c r="C627" s="39" t="s">
        <v>143</v>
      </c>
      <c r="E627" s="65" t="s">
        <v>107</v>
      </c>
      <c r="F627" s="69"/>
      <c r="G627" s="69"/>
      <c r="H627" s="69"/>
      <c r="I627" s="69">
        <v>1.8000000000000002E-2</v>
      </c>
      <c r="J627" s="69"/>
      <c r="K627" s="67">
        <v>3.6000000000000004E-2</v>
      </c>
      <c r="L627" s="66">
        <v>7.0000000000000007E-2</v>
      </c>
    </row>
    <row r="628" spans="1:12" outlineLevel="1" x14ac:dyDescent="0.2">
      <c r="B628" s="39" t="s">
        <v>22</v>
      </c>
      <c r="C628" s="39" t="s">
        <v>143</v>
      </c>
      <c r="E628" s="65" t="s">
        <v>108</v>
      </c>
      <c r="F628" s="69"/>
      <c r="G628" s="69"/>
      <c r="H628" s="69"/>
      <c r="I628" s="69">
        <v>0.06</v>
      </c>
      <c r="J628" s="69"/>
      <c r="K628" s="67">
        <v>8.6000000000000007E-2</v>
      </c>
      <c r="L628" s="66">
        <v>0.12</v>
      </c>
    </row>
    <row r="629" spans="1:12" outlineLevel="1" x14ac:dyDescent="0.2">
      <c r="B629" s="39" t="s">
        <v>22</v>
      </c>
      <c r="C629" s="39" t="s">
        <v>143</v>
      </c>
      <c r="E629" s="65" t="s">
        <v>109</v>
      </c>
      <c r="F629" s="66">
        <v>3.6000000000000004E-2</v>
      </c>
      <c r="G629" s="67">
        <v>4.3000000000000003E-2</v>
      </c>
      <c r="H629" s="68">
        <v>5.9000000000000004E-2</v>
      </c>
      <c r="I629" s="69">
        <v>6.4000000000000001E-2</v>
      </c>
      <c r="J629" s="68">
        <v>6.8000000000000005E-2</v>
      </c>
      <c r="K629" s="69"/>
      <c r="L629" s="69"/>
    </row>
    <row r="630" spans="1:12" outlineLevel="1" x14ac:dyDescent="0.2">
      <c r="B630" s="39" t="s">
        <v>22</v>
      </c>
      <c r="C630" s="39" t="s">
        <v>143</v>
      </c>
      <c r="E630" s="65" t="s">
        <v>110</v>
      </c>
      <c r="F630" s="69"/>
      <c r="G630" s="69"/>
      <c r="H630" s="69"/>
      <c r="I630" s="69">
        <v>1.7000000000000001E-2</v>
      </c>
      <c r="J630" s="69"/>
      <c r="K630" s="67">
        <v>2.3E-2</v>
      </c>
      <c r="L630" s="66">
        <v>2.8000000000000001E-2</v>
      </c>
    </row>
    <row r="631" spans="1:12" outlineLevel="1" x14ac:dyDescent="0.2">
      <c r="B631" s="39" t="s">
        <v>22</v>
      </c>
      <c r="C631" s="39" t="s">
        <v>143</v>
      </c>
      <c r="E631" s="65" t="s">
        <v>34</v>
      </c>
      <c r="F631" s="69"/>
      <c r="G631" s="69"/>
      <c r="H631" s="68">
        <v>6.2E-2</v>
      </c>
      <c r="I631" s="69">
        <v>6.9000000000000006E-2</v>
      </c>
      <c r="J631" s="68">
        <v>7.4999999999999997E-2</v>
      </c>
      <c r="K631" s="67">
        <v>9.8000000000000004E-2</v>
      </c>
      <c r="L631" s="66">
        <v>0.11900000000000001</v>
      </c>
    </row>
    <row r="632" spans="1:12" outlineLevel="1" x14ac:dyDescent="0.2">
      <c r="B632" s="39" t="s">
        <v>22</v>
      </c>
      <c r="C632" s="39" t="s">
        <v>143</v>
      </c>
      <c r="E632" s="65" t="s">
        <v>4</v>
      </c>
      <c r="F632" s="71">
        <v>13.5</v>
      </c>
      <c r="G632" s="72">
        <v>14.8</v>
      </c>
      <c r="H632" s="73">
        <v>16.2</v>
      </c>
      <c r="I632" s="74">
        <v>16.600000000000001</v>
      </c>
      <c r="J632" s="73">
        <v>17.3</v>
      </c>
      <c r="K632" s="72">
        <v>18.400000000000002</v>
      </c>
      <c r="L632" s="71">
        <v>19.700000000000003</v>
      </c>
    </row>
    <row r="633" spans="1:12" outlineLevel="1" x14ac:dyDescent="0.2">
      <c r="B633" s="39" t="s">
        <v>22</v>
      </c>
      <c r="C633" s="39" t="s">
        <v>143</v>
      </c>
      <c r="E633" s="65" t="s">
        <v>14</v>
      </c>
      <c r="F633" s="71">
        <v>7</v>
      </c>
      <c r="G633" s="72">
        <v>7.6000000000000005</v>
      </c>
      <c r="H633" s="73">
        <v>8.7000000000000011</v>
      </c>
      <c r="I633" s="74">
        <v>9.1</v>
      </c>
      <c r="J633" s="73">
        <v>9.6000000000000014</v>
      </c>
      <c r="K633" s="72">
        <v>10.4</v>
      </c>
      <c r="L633" s="71">
        <v>11</v>
      </c>
    </row>
    <row r="634" spans="1:12" outlineLevel="1" x14ac:dyDescent="0.2">
      <c r="B634" s="39" t="s">
        <v>22</v>
      </c>
      <c r="C634" s="39" t="s">
        <v>143</v>
      </c>
      <c r="E634" s="65" t="s">
        <v>0</v>
      </c>
      <c r="F634" s="71">
        <v>19.900000000000002</v>
      </c>
      <c r="G634" s="72">
        <v>21</v>
      </c>
      <c r="H634" s="73">
        <v>22.5</v>
      </c>
      <c r="I634" s="74">
        <v>23.1</v>
      </c>
      <c r="J634" s="73">
        <v>23.6</v>
      </c>
      <c r="K634" s="72">
        <v>25.5</v>
      </c>
      <c r="L634" s="71">
        <v>26.1</v>
      </c>
    </row>
    <row r="635" spans="1:12" outlineLevel="1" x14ac:dyDescent="0.2">
      <c r="B635" s="39" t="s">
        <v>22</v>
      </c>
      <c r="C635" s="39" t="s">
        <v>143</v>
      </c>
      <c r="E635" s="65" t="s">
        <v>343</v>
      </c>
      <c r="F635" s="78">
        <v>39747</v>
      </c>
      <c r="G635" s="79">
        <v>45459</v>
      </c>
      <c r="H635" s="80">
        <v>50314</v>
      </c>
      <c r="I635" s="81">
        <v>51160</v>
      </c>
      <c r="J635" s="80">
        <v>51985</v>
      </c>
      <c r="K635" s="79">
        <v>54361</v>
      </c>
      <c r="L635" s="78">
        <v>57688</v>
      </c>
    </row>
    <row r="636" spans="1:12" outlineLevel="1" x14ac:dyDescent="0.2">
      <c r="B636" s="39" t="s">
        <v>22</v>
      </c>
      <c r="C636" s="39" t="s">
        <v>143</v>
      </c>
      <c r="E636" s="65" t="s">
        <v>344</v>
      </c>
      <c r="F636" s="78">
        <v>41774</v>
      </c>
      <c r="G636" s="79">
        <v>47778</v>
      </c>
      <c r="H636" s="80">
        <v>52880</v>
      </c>
      <c r="I636" s="81">
        <v>53769</v>
      </c>
      <c r="J636" s="80">
        <v>54636</v>
      </c>
      <c r="K636" s="79">
        <v>57133</v>
      </c>
      <c r="L636" s="78">
        <v>60630</v>
      </c>
    </row>
    <row r="637" spans="1:12" outlineLevel="1" x14ac:dyDescent="0.2">
      <c r="B637" s="39" t="s">
        <v>22</v>
      </c>
      <c r="C637" s="39" t="s">
        <v>143</v>
      </c>
      <c r="E637" s="65" t="s">
        <v>353</v>
      </c>
      <c r="F637" s="78">
        <v>43920</v>
      </c>
      <c r="G637" s="79">
        <v>50233</v>
      </c>
      <c r="H637" s="80">
        <v>55597</v>
      </c>
      <c r="I637" s="81">
        <v>56532</v>
      </c>
      <c r="J637" s="80">
        <v>57443</v>
      </c>
      <c r="K637" s="79">
        <v>60069</v>
      </c>
      <c r="L637" s="78">
        <v>63745</v>
      </c>
    </row>
    <row r="638" spans="1:12" outlineLevel="1" x14ac:dyDescent="0.2">
      <c r="B638" s="39" t="s">
        <v>22</v>
      </c>
      <c r="C638" s="39" t="s">
        <v>143</v>
      </c>
      <c r="E638" s="65" t="s">
        <v>354</v>
      </c>
      <c r="F638" s="78">
        <v>44476</v>
      </c>
      <c r="G638" s="79">
        <v>50869</v>
      </c>
      <c r="H638" s="80">
        <v>56302</v>
      </c>
      <c r="I638" s="81">
        <v>57248</v>
      </c>
      <c r="J638" s="80">
        <v>58171</v>
      </c>
      <c r="K638" s="79">
        <v>60830</v>
      </c>
      <c r="L638" s="78">
        <v>64553</v>
      </c>
    </row>
    <row r="639" spans="1:12" outlineLevel="1" x14ac:dyDescent="0.2"/>
    <row r="640" spans="1:12" x14ac:dyDescent="0.2">
      <c r="A640" s="59">
        <v>78</v>
      </c>
      <c r="B640" s="39" t="s">
        <v>144</v>
      </c>
      <c r="C640" s="39" t="s">
        <v>142</v>
      </c>
      <c r="E640" s="153" t="s">
        <v>211</v>
      </c>
    </row>
    <row r="641" spans="2:12" outlineLevel="1" x14ac:dyDescent="0.2">
      <c r="B641" s="39" t="s">
        <v>144</v>
      </c>
      <c r="C641" s="39" t="s">
        <v>142</v>
      </c>
      <c r="E641" s="65" t="s">
        <v>338</v>
      </c>
      <c r="F641" s="66">
        <v>0.152</v>
      </c>
      <c r="G641" s="67">
        <v>0.16900000000000001</v>
      </c>
      <c r="H641" s="68">
        <v>0.21</v>
      </c>
      <c r="I641" s="69">
        <v>0.24099999999999999</v>
      </c>
      <c r="J641" s="68">
        <v>0.255</v>
      </c>
      <c r="K641" s="67">
        <v>0.30199999999999999</v>
      </c>
      <c r="L641" s="66">
        <v>0.35699999999999998</v>
      </c>
    </row>
    <row r="642" spans="2:12" outlineLevel="1" x14ac:dyDescent="0.2">
      <c r="B642" s="39" t="s">
        <v>144</v>
      </c>
      <c r="C642" s="39" t="s">
        <v>142</v>
      </c>
      <c r="E642" s="65" t="s">
        <v>339</v>
      </c>
      <c r="F642" s="66">
        <v>0.158</v>
      </c>
      <c r="G642" s="67">
        <v>0.17599999999999999</v>
      </c>
      <c r="H642" s="68">
        <v>0.218</v>
      </c>
      <c r="I642" s="69">
        <v>0.25</v>
      </c>
      <c r="J642" s="68">
        <v>0.26500000000000001</v>
      </c>
      <c r="K642" s="67">
        <v>0.312</v>
      </c>
      <c r="L642" s="66">
        <v>0.36799999999999999</v>
      </c>
    </row>
    <row r="643" spans="2:12" outlineLevel="1" x14ac:dyDescent="0.2">
      <c r="B643" s="39" t="s">
        <v>144</v>
      </c>
      <c r="C643" s="39" t="s">
        <v>142</v>
      </c>
      <c r="E643" s="65" t="s">
        <v>351</v>
      </c>
      <c r="F643" s="66">
        <v>0.16500000000000001</v>
      </c>
      <c r="G643" s="67">
        <v>0.184</v>
      </c>
      <c r="H643" s="68">
        <v>0.22700000000000001</v>
      </c>
      <c r="I643" s="69">
        <v>0.26</v>
      </c>
      <c r="J643" s="68">
        <v>0.27500000000000002</v>
      </c>
      <c r="K643" s="67">
        <v>0.32300000000000001</v>
      </c>
      <c r="L643" s="66">
        <v>0.38</v>
      </c>
    </row>
    <row r="644" spans="2:12" outlineLevel="1" x14ac:dyDescent="0.2">
      <c r="B644" s="39" t="s">
        <v>144</v>
      </c>
      <c r="C644" s="39" t="s">
        <v>142</v>
      </c>
      <c r="E644" s="65" t="s">
        <v>352</v>
      </c>
      <c r="F644" s="66">
        <v>0.16700000000000001</v>
      </c>
      <c r="G644" s="67">
        <v>0.185</v>
      </c>
      <c r="H644" s="68">
        <v>0.22900000000000001</v>
      </c>
      <c r="I644" s="69">
        <v>0.26200000000000001</v>
      </c>
      <c r="J644" s="68">
        <v>0.27700000000000002</v>
      </c>
      <c r="K644" s="67">
        <v>0.32600000000000001</v>
      </c>
      <c r="L644" s="66">
        <v>0.38300000000000001</v>
      </c>
    </row>
    <row r="645" spans="2:12" outlineLevel="1" x14ac:dyDescent="0.2">
      <c r="B645" s="39" t="s">
        <v>144</v>
      </c>
      <c r="C645" s="39" t="s">
        <v>142</v>
      </c>
      <c r="E645" s="65" t="s">
        <v>104</v>
      </c>
      <c r="F645" s="69"/>
      <c r="G645" s="69"/>
      <c r="H645" s="68">
        <v>7.0000000000000001E-3</v>
      </c>
      <c r="I645" s="69">
        <v>1.0999999999999999E-2</v>
      </c>
      <c r="J645" s="68">
        <v>1.4999999999999999E-2</v>
      </c>
      <c r="K645" s="67">
        <v>3.1E-2</v>
      </c>
      <c r="L645" s="66">
        <v>4.3999999999999997E-2</v>
      </c>
    </row>
    <row r="646" spans="2:12" outlineLevel="1" x14ac:dyDescent="0.2">
      <c r="B646" s="39" t="s">
        <v>144</v>
      </c>
      <c r="C646" s="39" t="s">
        <v>142</v>
      </c>
      <c r="E646" s="65" t="s">
        <v>105</v>
      </c>
      <c r="F646" s="69"/>
      <c r="G646" s="69"/>
      <c r="H646" s="68">
        <v>0.29299999999999998</v>
      </c>
      <c r="I646" s="69">
        <v>0.32200000000000001</v>
      </c>
      <c r="J646" s="68">
        <v>0.36799999999999999</v>
      </c>
      <c r="K646" s="67">
        <v>0.45100000000000001</v>
      </c>
      <c r="L646" s="66">
        <v>0.5</v>
      </c>
    </row>
    <row r="647" spans="2:12" outlineLevel="1" x14ac:dyDescent="0.2">
      <c r="B647" s="39" t="s">
        <v>144</v>
      </c>
      <c r="C647" s="39" t="s">
        <v>142</v>
      </c>
      <c r="E647" s="65" t="s">
        <v>106</v>
      </c>
      <c r="F647" s="69"/>
      <c r="G647" s="69"/>
      <c r="H647" s="69"/>
      <c r="I647" s="69">
        <v>1.9E-2</v>
      </c>
      <c r="J647" s="69"/>
      <c r="K647" s="67">
        <v>3.5000000000000003E-2</v>
      </c>
      <c r="L647" s="66">
        <v>0.05</v>
      </c>
    </row>
    <row r="648" spans="2:12" outlineLevel="1" x14ac:dyDescent="0.2">
      <c r="B648" s="39" t="s">
        <v>144</v>
      </c>
      <c r="C648" s="39" t="s">
        <v>142</v>
      </c>
      <c r="E648" s="65" t="s">
        <v>107</v>
      </c>
      <c r="F648" s="69"/>
      <c r="G648" s="69"/>
      <c r="H648" s="69"/>
      <c r="I648" s="69">
        <v>2.9000000000000001E-2</v>
      </c>
      <c r="J648" s="69"/>
      <c r="K648" s="67">
        <v>5.3999999999999999E-2</v>
      </c>
      <c r="L648" s="66">
        <v>7.8E-2</v>
      </c>
    </row>
    <row r="649" spans="2:12" outlineLevel="1" x14ac:dyDescent="0.2">
      <c r="B649" s="39" t="s">
        <v>144</v>
      </c>
      <c r="C649" s="39" t="s">
        <v>142</v>
      </c>
      <c r="E649" s="65" t="s">
        <v>108</v>
      </c>
      <c r="F649" s="69"/>
      <c r="G649" s="69"/>
      <c r="H649" s="69"/>
      <c r="I649" s="69">
        <v>0.1</v>
      </c>
      <c r="J649" s="69"/>
      <c r="K649" s="67">
        <v>0.13700000000000001</v>
      </c>
      <c r="L649" s="66">
        <v>0.153</v>
      </c>
    </row>
    <row r="650" spans="2:12" outlineLevel="1" x14ac:dyDescent="0.2">
      <c r="B650" s="39" t="s">
        <v>144</v>
      </c>
      <c r="C650" s="39" t="s">
        <v>142</v>
      </c>
      <c r="E650" s="65" t="s">
        <v>109</v>
      </c>
      <c r="F650" s="66">
        <v>9.0000000000000011E-3</v>
      </c>
      <c r="G650" s="67">
        <v>1.2E-2</v>
      </c>
      <c r="H650" s="68">
        <v>1.4999999999999999E-2</v>
      </c>
      <c r="I650" s="69">
        <v>1.7000000000000001E-2</v>
      </c>
      <c r="J650" s="68">
        <v>1.9E-2</v>
      </c>
      <c r="K650" s="69"/>
      <c r="L650" s="69"/>
    </row>
    <row r="651" spans="2:12" outlineLevel="1" x14ac:dyDescent="0.2">
      <c r="B651" s="39" t="s">
        <v>144</v>
      </c>
      <c r="C651" s="39" t="s">
        <v>142</v>
      </c>
      <c r="E651" s="70" t="s">
        <v>110</v>
      </c>
      <c r="F651" s="69"/>
      <c r="G651" s="69"/>
      <c r="H651" s="69"/>
      <c r="I651" s="69">
        <v>7.0000000000000001E-3</v>
      </c>
      <c r="J651" s="69"/>
      <c r="K651" s="67">
        <v>1.0999999999999999E-2</v>
      </c>
      <c r="L651" s="66">
        <v>1.2E-2</v>
      </c>
    </row>
    <row r="652" spans="2:12" outlineLevel="1" x14ac:dyDescent="0.2">
      <c r="B652" s="39" t="s">
        <v>144</v>
      </c>
      <c r="C652" s="39" t="s">
        <v>142</v>
      </c>
      <c r="E652" s="65" t="s">
        <v>34</v>
      </c>
      <c r="F652" s="69"/>
      <c r="G652" s="69"/>
      <c r="H652" s="68">
        <v>7.9000000000000001E-2</v>
      </c>
      <c r="I652" s="69">
        <v>8.7999999999999995E-2</v>
      </c>
      <c r="J652" s="68">
        <v>9.4E-2</v>
      </c>
      <c r="K652" s="67">
        <v>0.13</v>
      </c>
      <c r="L652" s="66">
        <v>0.14899999999999999</v>
      </c>
    </row>
    <row r="653" spans="2:12" outlineLevel="1" x14ac:dyDescent="0.2">
      <c r="B653" s="39" t="s">
        <v>144</v>
      </c>
      <c r="C653" s="39" t="s">
        <v>142</v>
      </c>
      <c r="E653" s="65" t="s">
        <v>4</v>
      </c>
      <c r="F653" s="71">
        <v>13</v>
      </c>
      <c r="G653" s="72">
        <v>16.3</v>
      </c>
      <c r="H653" s="73">
        <v>19.200000000000003</v>
      </c>
      <c r="I653" s="74">
        <v>20.100000000000001</v>
      </c>
      <c r="J653" s="73">
        <v>21.200000000000003</v>
      </c>
      <c r="K653" s="72">
        <v>25.1</v>
      </c>
      <c r="L653" s="71">
        <v>32.800000000000004</v>
      </c>
    </row>
    <row r="654" spans="2:12" outlineLevel="1" x14ac:dyDescent="0.2">
      <c r="B654" s="39" t="s">
        <v>144</v>
      </c>
      <c r="C654" s="39" t="s">
        <v>142</v>
      </c>
      <c r="E654" s="65" t="s">
        <v>14</v>
      </c>
      <c r="F654" s="71">
        <v>2.8000000000000003</v>
      </c>
      <c r="G654" s="72">
        <v>3.4000000000000004</v>
      </c>
      <c r="H654" s="73">
        <v>3.9000000000000004</v>
      </c>
      <c r="I654" s="74">
        <v>4</v>
      </c>
      <c r="J654" s="73">
        <v>4.2</v>
      </c>
      <c r="K654" s="72">
        <v>5.2</v>
      </c>
      <c r="L654" s="71">
        <v>5.7</v>
      </c>
    </row>
    <row r="655" spans="2:12" outlineLevel="1" x14ac:dyDescent="0.2">
      <c r="B655" s="39" t="s">
        <v>144</v>
      </c>
      <c r="C655" s="39" t="s">
        <v>142</v>
      </c>
      <c r="E655" s="65" t="s">
        <v>343</v>
      </c>
      <c r="F655" s="78">
        <v>47802</v>
      </c>
      <c r="G655" s="79">
        <v>51666</v>
      </c>
      <c r="H655" s="80">
        <v>59834</v>
      </c>
      <c r="I655" s="81">
        <v>61734</v>
      </c>
      <c r="J655" s="80">
        <v>64701</v>
      </c>
      <c r="K655" s="79">
        <v>71446</v>
      </c>
      <c r="L655" s="78">
        <v>81917</v>
      </c>
    </row>
    <row r="656" spans="2:12" outlineLevel="1" x14ac:dyDescent="0.2">
      <c r="B656" s="39" t="s">
        <v>144</v>
      </c>
      <c r="C656" s="39" t="s">
        <v>142</v>
      </c>
      <c r="E656" s="65" t="s">
        <v>344</v>
      </c>
      <c r="F656" s="78">
        <v>50239</v>
      </c>
      <c r="G656" s="79">
        <v>54301</v>
      </c>
      <c r="H656" s="80">
        <v>62886</v>
      </c>
      <c r="I656" s="81">
        <v>64882</v>
      </c>
      <c r="J656" s="80">
        <v>68001</v>
      </c>
      <c r="K656" s="79">
        <v>75089</v>
      </c>
      <c r="L656" s="78">
        <v>86095</v>
      </c>
    </row>
    <row r="657" spans="1:12" outlineLevel="1" x14ac:dyDescent="0.2">
      <c r="B657" s="39" t="s">
        <v>144</v>
      </c>
      <c r="C657" s="39" t="s">
        <v>142</v>
      </c>
      <c r="E657" s="65" t="s">
        <v>353</v>
      </c>
      <c r="F657" s="78">
        <v>52821</v>
      </c>
      <c r="G657" s="79">
        <v>57091</v>
      </c>
      <c r="H657" s="80">
        <v>66117</v>
      </c>
      <c r="I657" s="81">
        <v>68216</v>
      </c>
      <c r="J657" s="80">
        <v>71494</v>
      </c>
      <c r="K657" s="79">
        <v>78947</v>
      </c>
      <c r="L657" s="78">
        <v>90518</v>
      </c>
    </row>
    <row r="658" spans="1:12" outlineLevel="1" x14ac:dyDescent="0.2">
      <c r="B658" s="39" t="s">
        <v>144</v>
      </c>
      <c r="C658" s="39" t="s">
        <v>142</v>
      </c>
      <c r="E658" s="65" t="s">
        <v>354</v>
      </c>
      <c r="F658" s="78">
        <v>53490</v>
      </c>
      <c r="G658" s="79">
        <v>57814</v>
      </c>
      <c r="H658" s="80">
        <v>66955</v>
      </c>
      <c r="I658" s="81">
        <v>69080</v>
      </c>
      <c r="J658" s="80">
        <v>72400</v>
      </c>
      <c r="K658" s="79">
        <v>79948</v>
      </c>
      <c r="L658" s="78">
        <v>91665</v>
      </c>
    </row>
    <row r="659" spans="1:12" outlineLevel="1" x14ac:dyDescent="0.2"/>
    <row r="660" spans="1:12" x14ac:dyDescent="0.2">
      <c r="A660" s="59">
        <v>315</v>
      </c>
      <c r="B660" s="39" t="s">
        <v>144</v>
      </c>
      <c r="C660" s="39" t="s">
        <v>143</v>
      </c>
      <c r="E660" s="153" t="s">
        <v>212</v>
      </c>
    </row>
    <row r="661" spans="1:12" outlineLevel="1" x14ac:dyDescent="0.2">
      <c r="B661" s="39" t="s">
        <v>144</v>
      </c>
      <c r="C661" s="39" t="s">
        <v>143</v>
      </c>
      <c r="E661" s="65" t="s">
        <v>338</v>
      </c>
      <c r="F661" s="66">
        <v>0.16600000000000001</v>
      </c>
      <c r="G661" s="67">
        <v>0.192</v>
      </c>
      <c r="H661" s="68">
        <v>0.24299999999999999</v>
      </c>
      <c r="I661" s="69">
        <v>0.26600000000000001</v>
      </c>
      <c r="J661" s="68">
        <v>0.28899999999999998</v>
      </c>
      <c r="K661" s="67">
        <v>0.34200000000000003</v>
      </c>
      <c r="L661" s="66">
        <v>0.373</v>
      </c>
    </row>
    <row r="662" spans="1:12" outlineLevel="1" x14ac:dyDescent="0.2">
      <c r="B662" s="39" t="s">
        <v>144</v>
      </c>
      <c r="C662" s="39" t="s">
        <v>143</v>
      </c>
      <c r="E662" s="65" t="s">
        <v>339</v>
      </c>
      <c r="F662" s="66">
        <v>0.17300000000000001</v>
      </c>
      <c r="G662" s="67">
        <v>0.2</v>
      </c>
      <c r="H662" s="68">
        <v>0.252</v>
      </c>
      <c r="I662" s="69">
        <v>0.27500000000000002</v>
      </c>
      <c r="J662" s="68">
        <v>0.29899999999999999</v>
      </c>
      <c r="K662" s="67">
        <v>0.35299999999999998</v>
      </c>
      <c r="L662" s="66">
        <v>0.38400000000000001</v>
      </c>
    </row>
    <row r="663" spans="1:12" outlineLevel="1" x14ac:dyDescent="0.2">
      <c r="B663" s="39" t="s">
        <v>144</v>
      </c>
      <c r="C663" s="39" t="s">
        <v>143</v>
      </c>
      <c r="E663" s="65" t="s">
        <v>351</v>
      </c>
      <c r="F663" s="66">
        <v>0.18</v>
      </c>
      <c r="G663" s="67">
        <v>0.20800000000000002</v>
      </c>
      <c r="H663" s="68">
        <v>0.26200000000000001</v>
      </c>
      <c r="I663" s="69">
        <v>0.28600000000000003</v>
      </c>
      <c r="J663" s="68">
        <v>0.31</v>
      </c>
      <c r="K663" s="67">
        <v>0.36499999999999999</v>
      </c>
      <c r="L663" s="66">
        <v>0.39600000000000002</v>
      </c>
    </row>
    <row r="664" spans="1:12" outlineLevel="1" x14ac:dyDescent="0.2">
      <c r="B664" s="39" t="s">
        <v>144</v>
      </c>
      <c r="C664" s="39" t="s">
        <v>143</v>
      </c>
      <c r="E664" s="65" t="s">
        <v>352</v>
      </c>
      <c r="F664" s="66">
        <v>0.182</v>
      </c>
      <c r="G664" s="67">
        <v>0.21</v>
      </c>
      <c r="H664" s="68">
        <v>0.26400000000000001</v>
      </c>
      <c r="I664" s="69">
        <v>0.28800000000000003</v>
      </c>
      <c r="J664" s="68">
        <v>0.312</v>
      </c>
      <c r="K664" s="67">
        <v>0.36799999999999999</v>
      </c>
      <c r="L664" s="66">
        <v>0.39900000000000002</v>
      </c>
    </row>
    <row r="665" spans="1:12" outlineLevel="1" x14ac:dyDescent="0.2">
      <c r="B665" s="39" t="s">
        <v>144</v>
      </c>
      <c r="C665" s="39" t="s">
        <v>143</v>
      </c>
      <c r="E665" s="65" t="s">
        <v>104</v>
      </c>
      <c r="F665" s="69"/>
      <c r="G665" s="69"/>
      <c r="H665" s="68">
        <v>6.0000000000000001E-3</v>
      </c>
      <c r="I665" s="69">
        <v>9.0000000000000011E-3</v>
      </c>
      <c r="J665" s="68">
        <v>1.3000000000000001E-2</v>
      </c>
      <c r="K665" s="67">
        <v>2.8000000000000001E-2</v>
      </c>
      <c r="L665" s="66">
        <v>4.2000000000000003E-2</v>
      </c>
    </row>
    <row r="666" spans="1:12" outlineLevel="1" x14ac:dyDescent="0.2">
      <c r="B666" s="39" t="s">
        <v>144</v>
      </c>
      <c r="C666" s="39" t="s">
        <v>143</v>
      </c>
      <c r="E666" s="65" t="s">
        <v>105</v>
      </c>
      <c r="F666" s="69"/>
      <c r="G666" s="69"/>
      <c r="H666" s="68">
        <v>0.316</v>
      </c>
      <c r="I666" s="69">
        <v>0.35299999999999998</v>
      </c>
      <c r="J666" s="68">
        <v>0.38300000000000001</v>
      </c>
      <c r="K666" s="67">
        <v>0.439</v>
      </c>
      <c r="L666" s="66">
        <v>0.48699999999999999</v>
      </c>
    </row>
    <row r="667" spans="1:12" outlineLevel="1" x14ac:dyDescent="0.2">
      <c r="B667" s="39" t="s">
        <v>144</v>
      </c>
      <c r="C667" s="39" t="s">
        <v>143</v>
      </c>
      <c r="E667" s="65" t="s">
        <v>106</v>
      </c>
      <c r="F667" s="69"/>
      <c r="G667" s="69"/>
      <c r="H667" s="69"/>
      <c r="I667" s="69">
        <v>2.1000000000000001E-2</v>
      </c>
      <c r="J667" s="69"/>
      <c r="K667" s="67">
        <v>3.6999999999999998E-2</v>
      </c>
      <c r="L667" s="66">
        <v>4.7E-2</v>
      </c>
    </row>
    <row r="668" spans="1:12" outlineLevel="1" x14ac:dyDescent="0.2">
      <c r="B668" s="39" t="s">
        <v>144</v>
      </c>
      <c r="C668" s="39" t="s">
        <v>143</v>
      </c>
      <c r="E668" s="65" t="s">
        <v>107</v>
      </c>
      <c r="F668" s="69"/>
      <c r="G668" s="69"/>
      <c r="H668" s="69"/>
      <c r="I668" s="69">
        <v>3.1E-2</v>
      </c>
      <c r="J668" s="69"/>
      <c r="K668" s="67">
        <v>5.8000000000000003E-2</v>
      </c>
      <c r="L668" s="66">
        <v>8.8999999999999996E-2</v>
      </c>
    </row>
    <row r="669" spans="1:12" outlineLevel="1" x14ac:dyDescent="0.2">
      <c r="B669" s="39" t="s">
        <v>144</v>
      </c>
      <c r="C669" s="39" t="s">
        <v>143</v>
      </c>
      <c r="E669" s="65" t="s">
        <v>108</v>
      </c>
      <c r="F669" s="69"/>
      <c r="G669" s="69"/>
      <c r="H669" s="69"/>
      <c r="I669" s="69">
        <v>0.10300000000000001</v>
      </c>
      <c r="J669" s="69"/>
      <c r="K669" s="67">
        <v>0.13900000000000001</v>
      </c>
      <c r="L669" s="66">
        <v>0.16600000000000001</v>
      </c>
    </row>
    <row r="670" spans="1:12" outlineLevel="1" x14ac:dyDescent="0.2">
      <c r="B670" s="39" t="s">
        <v>144</v>
      </c>
      <c r="C670" s="39" t="s">
        <v>143</v>
      </c>
      <c r="E670" s="65" t="s">
        <v>109</v>
      </c>
      <c r="F670" s="66">
        <v>9.0000000000000011E-3</v>
      </c>
      <c r="G670" s="67">
        <v>1.3000000000000001E-2</v>
      </c>
      <c r="H670" s="68">
        <v>0.02</v>
      </c>
      <c r="I670" s="69">
        <v>2.3E-2</v>
      </c>
      <c r="J670" s="68">
        <v>2.6000000000000002E-2</v>
      </c>
      <c r="K670" s="69"/>
      <c r="L670" s="69"/>
    </row>
    <row r="671" spans="1:12" outlineLevel="1" x14ac:dyDescent="0.2">
      <c r="B671" s="39" t="s">
        <v>144</v>
      </c>
      <c r="C671" s="39" t="s">
        <v>143</v>
      </c>
      <c r="E671" s="65" t="s">
        <v>110</v>
      </c>
      <c r="F671" s="69"/>
      <c r="G671" s="69"/>
      <c r="H671" s="69"/>
      <c r="I671" s="69">
        <v>1.0999999999999999E-2</v>
      </c>
      <c r="J671" s="69"/>
      <c r="K671" s="67">
        <v>1.4999999999999999E-2</v>
      </c>
      <c r="L671" s="66">
        <v>1.8000000000000002E-2</v>
      </c>
    </row>
    <row r="672" spans="1:12" outlineLevel="1" x14ac:dyDescent="0.2">
      <c r="B672" s="39" t="s">
        <v>144</v>
      </c>
      <c r="C672" s="39" t="s">
        <v>143</v>
      </c>
      <c r="E672" s="65" t="s">
        <v>34</v>
      </c>
      <c r="F672" s="69"/>
      <c r="G672" s="69"/>
      <c r="H672" s="68">
        <v>8.3000000000000004E-2</v>
      </c>
      <c r="I672" s="69">
        <v>9.6000000000000002E-2</v>
      </c>
      <c r="J672" s="68">
        <v>0.108</v>
      </c>
      <c r="K672" s="67">
        <v>0.13900000000000001</v>
      </c>
      <c r="L672" s="66">
        <v>0.16900000000000001</v>
      </c>
    </row>
    <row r="673" spans="1:14" outlineLevel="1" x14ac:dyDescent="0.2">
      <c r="B673" s="39" t="s">
        <v>144</v>
      </c>
      <c r="C673" s="39" t="s">
        <v>143</v>
      </c>
      <c r="E673" s="65" t="s">
        <v>4</v>
      </c>
      <c r="F673" s="71">
        <v>15.100000000000001</v>
      </c>
      <c r="G673" s="72">
        <v>17.3</v>
      </c>
      <c r="H673" s="73">
        <v>20.900000000000002</v>
      </c>
      <c r="I673" s="74">
        <v>22.900000000000002</v>
      </c>
      <c r="J673" s="73">
        <v>25.200000000000003</v>
      </c>
      <c r="K673" s="72">
        <v>34.5</v>
      </c>
      <c r="L673" s="71">
        <v>43.5</v>
      </c>
    </row>
    <row r="674" spans="1:14" outlineLevel="1" x14ac:dyDescent="0.2">
      <c r="B674" s="39" t="s">
        <v>144</v>
      </c>
      <c r="C674" s="39" t="s">
        <v>143</v>
      </c>
      <c r="E674" s="65" t="s">
        <v>14</v>
      </c>
      <c r="F674" s="71">
        <v>3.5</v>
      </c>
      <c r="G674" s="72">
        <v>3.9000000000000004</v>
      </c>
      <c r="H674" s="73">
        <v>4.6000000000000005</v>
      </c>
      <c r="I674" s="74">
        <v>4.9000000000000004</v>
      </c>
      <c r="J674" s="73">
        <v>5.2</v>
      </c>
      <c r="K674" s="72">
        <v>6.2</v>
      </c>
      <c r="L674" s="71">
        <v>7.2</v>
      </c>
    </row>
    <row r="675" spans="1:14" outlineLevel="1" x14ac:dyDescent="0.2">
      <c r="B675" s="39" t="s">
        <v>144</v>
      </c>
      <c r="C675" s="39" t="s">
        <v>143</v>
      </c>
      <c r="E675" s="65" t="s">
        <v>343</v>
      </c>
      <c r="F675" s="78">
        <v>43025</v>
      </c>
      <c r="G675" s="79">
        <v>46986</v>
      </c>
      <c r="H675" s="80">
        <v>52933</v>
      </c>
      <c r="I675" s="81">
        <v>55795</v>
      </c>
      <c r="J675" s="80">
        <v>57771</v>
      </c>
      <c r="K675" s="79">
        <v>63060</v>
      </c>
      <c r="L675" s="78">
        <v>73348</v>
      </c>
    </row>
    <row r="676" spans="1:14" outlineLevel="1" x14ac:dyDescent="0.2">
      <c r="B676" s="39" t="s">
        <v>144</v>
      </c>
      <c r="C676" s="39" t="s">
        <v>143</v>
      </c>
      <c r="E676" s="65" t="s">
        <v>344</v>
      </c>
      <c r="F676" s="78">
        <v>45220</v>
      </c>
      <c r="G676" s="79">
        <v>49382</v>
      </c>
      <c r="H676" s="80">
        <v>55633</v>
      </c>
      <c r="I676" s="81">
        <v>58640</v>
      </c>
      <c r="J676" s="80">
        <v>60718</v>
      </c>
      <c r="K676" s="79">
        <v>66276</v>
      </c>
      <c r="L676" s="78">
        <v>77089</v>
      </c>
    </row>
    <row r="677" spans="1:14" outlineLevel="1" x14ac:dyDescent="0.2">
      <c r="B677" s="39" t="s">
        <v>144</v>
      </c>
      <c r="C677" s="39" t="s">
        <v>143</v>
      </c>
      <c r="E677" s="65" t="s">
        <v>353</v>
      </c>
      <c r="F677" s="78">
        <v>47543</v>
      </c>
      <c r="G677" s="79">
        <v>51920</v>
      </c>
      <c r="H677" s="80">
        <v>58491</v>
      </c>
      <c r="I677" s="81">
        <v>61653</v>
      </c>
      <c r="J677" s="80">
        <v>63837</v>
      </c>
      <c r="K677" s="79">
        <v>69681</v>
      </c>
      <c r="L677" s="78">
        <v>81050</v>
      </c>
    </row>
    <row r="678" spans="1:14" outlineLevel="1" x14ac:dyDescent="0.2">
      <c r="B678" s="39" t="s">
        <v>144</v>
      </c>
      <c r="C678" s="39" t="s">
        <v>143</v>
      </c>
      <c r="E678" s="65" t="s">
        <v>354</v>
      </c>
      <c r="F678" s="78">
        <v>48145</v>
      </c>
      <c r="G678" s="79">
        <v>52577</v>
      </c>
      <c r="H678" s="80">
        <v>59232</v>
      </c>
      <c r="I678" s="81">
        <v>62434</v>
      </c>
      <c r="J678" s="80">
        <v>64646</v>
      </c>
      <c r="K678" s="79">
        <v>70564</v>
      </c>
      <c r="L678" s="78">
        <v>82077</v>
      </c>
    </row>
    <row r="679" spans="1:14" x14ac:dyDescent="0.2"/>
    <row r="680" spans="1:14" s="63" customFormat="1" ht="60" x14ac:dyDescent="0.25">
      <c r="A680" s="62" t="s">
        <v>145</v>
      </c>
      <c r="B680" s="62" t="s">
        <v>16</v>
      </c>
      <c r="C680" s="62" t="s">
        <v>146</v>
      </c>
      <c r="D680" s="362" t="s">
        <v>156</v>
      </c>
      <c r="E680" s="362"/>
      <c r="F680" s="64" t="s">
        <v>148</v>
      </c>
      <c r="G680" s="64" t="s">
        <v>149</v>
      </c>
      <c r="H680" s="64" t="s">
        <v>150</v>
      </c>
      <c r="I680" s="64" t="s">
        <v>155</v>
      </c>
      <c r="J680" s="64" t="s">
        <v>154</v>
      </c>
      <c r="K680" s="64" t="s">
        <v>151</v>
      </c>
      <c r="L680" s="64" t="s">
        <v>152</v>
      </c>
      <c r="N680" s="63" t="s">
        <v>153</v>
      </c>
    </row>
    <row r="681" spans="1:14" x14ac:dyDescent="0.2">
      <c r="A681" s="75">
        <v>1721</v>
      </c>
      <c r="B681" s="39" t="s">
        <v>21</v>
      </c>
      <c r="C681" s="39" t="s">
        <v>142</v>
      </c>
      <c r="D681" s="75"/>
      <c r="E681" s="153" t="s">
        <v>213</v>
      </c>
      <c r="N681" s="77"/>
    </row>
    <row r="682" spans="1:14" outlineLevel="1" x14ac:dyDescent="0.2">
      <c r="B682" s="39" t="s">
        <v>21</v>
      </c>
      <c r="C682" s="39" t="s">
        <v>142</v>
      </c>
      <c r="E682" s="65" t="s">
        <v>343</v>
      </c>
      <c r="F682" s="78">
        <v>45132</v>
      </c>
      <c r="G682" s="79">
        <v>48047</v>
      </c>
      <c r="H682" s="80">
        <v>51473</v>
      </c>
      <c r="I682" s="81">
        <v>53008</v>
      </c>
      <c r="J682" s="80">
        <v>54491</v>
      </c>
      <c r="K682" s="79">
        <v>58707</v>
      </c>
      <c r="L682" s="78">
        <v>63362</v>
      </c>
    </row>
    <row r="683" spans="1:14" outlineLevel="1" x14ac:dyDescent="0.2">
      <c r="B683" s="39" t="s">
        <v>21</v>
      </c>
      <c r="C683" s="39" t="s">
        <v>142</v>
      </c>
      <c r="E683" s="65" t="s">
        <v>344</v>
      </c>
      <c r="F683" s="78">
        <v>47434</v>
      </c>
      <c r="G683" s="79">
        <v>50498</v>
      </c>
      <c r="H683" s="80">
        <v>54098</v>
      </c>
      <c r="I683" s="81">
        <v>55712</v>
      </c>
      <c r="J683" s="80">
        <v>57270</v>
      </c>
      <c r="K683" s="79">
        <v>61701</v>
      </c>
      <c r="L683" s="78">
        <v>66594</v>
      </c>
    </row>
    <row r="684" spans="1:14" outlineLevel="1" x14ac:dyDescent="0.2">
      <c r="B684" s="39" t="s">
        <v>21</v>
      </c>
      <c r="C684" s="39" t="s">
        <v>142</v>
      </c>
      <c r="E684" s="65" t="s">
        <v>353</v>
      </c>
      <c r="F684" s="78">
        <v>49871</v>
      </c>
      <c r="G684" s="79">
        <v>53092</v>
      </c>
      <c r="H684" s="80">
        <v>56878</v>
      </c>
      <c r="I684" s="81">
        <v>58574</v>
      </c>
      <c r="J684" s="80">
        <v>60213</v>
      </c>
      <c r="K684" s="79">
        <v>64871</v>
      </c>
      <c r="L684" s="78">
        <v>70015</v>
      </c>
    </row>
    <row r="685" spans="1:14" outlineLevel="1" x14ac:dyDescent="0.2">
      <c r="B685" s="39" t="s">
        <v>21</v>
      </c>
      <c r="C685" s="39" t="s">
        <v>142</v>
      </c>
      <c r="E685" s="65" t="s">
        <v>354</v>
      </c>
      <c r="F685" s="78">
        <v>50503</v>
      </c>
      <c r="G685" s="79">
        <v>53765</v>
      </c>
      <c r="H685" s="80">
        <v>57598</v>
      </c>
      <c r="I685" s="81">
        <v>59316</v>
      </c>
      <c r="J685" s="80">
        <v>60976</v>
      </c>
      <c r="K685" s="79">
        <v>65693</v>
      </c>
      <c r="L685" s="78">
        <v>70902</v>
      </c>
    </row>
    <row r="686" spans="1:14" outlineLevel="1" x14ac:dyDescent="0.2"/>
    <row r="687" spans="1:14" x14ac:dyDescent="0.2">
      <c r="A687" s="75">
        <v>13651</v>
      </c>
      <c r="B687" s="39" t="s">
        <v>21</v>
      </c>
      <c r="C687" s="39" t="s">
        <v>143</v>
      </c>
      <c r="D687" s="75"/>
      <c r="E687" s="153" t="s">
        <v>214</v>
      </c>
    </row>
    <row r="688" spans="1:14" outlineLevel="1" x14ac:dyDescent="0.2">
      <c r="B688" s="39" t="s">
        <v>21</v>
      </c>
      <c r="C688" s="39" t="s">
        <v>143</v>
      </c>
      <c r="E688" s="65" t="s">
        <v>343</v>
      </c>
      <c r="F688" s="78">
        <v>40691</v>
      </c>
      <c r="G688" s="79">
        <v>43299</v>
      </c>
      <c r="H688" s="80">
        <v>46357</v>
      </c>
      <c r="I688" s="81">
        <v>47620</v>
      </c>
      <c r="J688" s="80">
        <v>48963</v>
      </c>
      <c r="K688" s="79">
        <v>52161</v>
      </c>
      <c r="L688" s="78">
        <v>55416</v>
      </c>
    </row>
    <row r="689" spans="1:12" outlineLevel="1" x14ac:dyDescent="0.2">
      <c r="B689" s="39" t="s">
        <v>21</v>
      </c>
      <c r="C689" s="39" t="s">
        <v>143</v>
      </c>
      <c r="E689" s="65" t="s">
        <v>344</v>
      </c>
      <c r="F689" s="78">
        <v>42766</v>
      </c>
      <c r="G689" s="79">
        <v>45507</v>
      </c>
      <c r="H689" s="80">
        <v>48721</v>
      </c>
      <c r="I689" s="81">
        <v>50049</v>
      </c>
      <c r="J689" s="80">
        <v>51461</v>
      </c>
      <c r="K689" s="79">
        <v>54822</v>
      </c>
      <c r="L689" s="78">
        <v>58243</v>
      </c>
    </row>
    <row r="690" spans="1:12" outlineLevel="1" x14ac:dyDescent="0.2">
      <c r="B690" s="39" t="s">
        <v>21</v>
      </c>
      <c r="C690" s="39" t="s">
        <v>143</v>
      </c>
      <c r="E690" s="65" t="s">
        <v>353</v>
      </c>
      <c r="F690" s="78">
        <v>44963</v>
      </c>
      <c r="G690" s="79">
        <v>47845</v>
      </c>
      <c r="H690" s="80">
        <v>51224</v>
      </c>
      <c r="I690" s="81">
        <v>52620</v>
      </c>
      <c r="J690" s="80">
        <v>54105</v>
      </c>
      <c r="K690" s="79">
        <v>57638</v>
      </c>
      <c r="L690" s="78">
        <v>61235</v>
      </c>
    </row>
    <row r="691" spans="1:12" outlineLevel="1" x14ac:dyDescent="0.2">
      <c r="B691" s="39" t="s">
        <v>21</v>
      </c>
      <c r="C691" s="39" t="s">
        <v>143</v>
      </c>
      <c r="E691" s="65" t="s">
        <v>354</v>
      </c>
      <c r="F691" s="78">
        <v>45533</v>
      </c>
      <c r="G691" s="79">
        <v>48451</v>
      </c>
      <c r="H691" s="80">
        <v>51873</v>
      </c>
      <c r="I691" s="81">
        <v>53287</v>
      </c>
      <c r="J691" s="80">
        <v>54790</v>
      </c>
      <c r="K691" s="79">
        <v>58369</v>
      </c>
      <c r="L691" s="78">
        <v>62011</v>
      </c>
    </row>
    <row r="692" spans="1:12" ht="14.1" customHeight="1" outlineLevel="1" x14ac:dyDescent="0.2"/>
    <row r="693" spans="1:12" ht="14.85" customHeight="1" x14ac:dyDescent="0.2">
      <c r="A693" s="59">
        <v>328</v>
      </c>
      <c r="B693" s="39" t="s">
        <v>130</v>
      </c>
      <c r="C693" s="39" t="s">
        <v>142</v>
      </c>
      <c r="D693" s="39"/>
      <c r="E693" s="153" t="s">
        <v>218</v>
      </c>
    </row>
    <row r="694" spans="1:12" outlineLevel="1" x14ac:dyDescent="0.2">
      <c r="B694" s="39" t="s">
        <v>130</v>
      </c>
      <c r="C694" s="39" t="s">
        <v>142</v>
      </c>
      <c r="D694" s="39"/>
      <c r="E694" s="65" t="s">
        <v>343</v>
      </c>
      <c r="F694" s="78">
        <v>50709</v>
      </c>
      <c r="G694" s="79">
        <v>53641</v>
      </c>
      <c r="H694" s="80">
        <v>56902</v>
      </c>
      <c r="I694" s="81">
        <v>58120</v>
      </c>
      <c r="J694" s="80">
        <v>60016</v>
      </c>
      <c r="K694" s="79">
        <v>64073</v>
      </c>
      <c r="L694" s="78">
        <v>67939</v>
      </c>
    </row>
    <row r="695" spans="1:12" outlineLevel="1" x14ac:dyDescent="0.2">
      <c r="B695" s="39" t="s">
        <v>130</v>
      </c>
      <c r="C695" s="39" t="s">
        <v>142</v>
      </c>
      <c r="D695" s="39"/>
      <c r="E695" s="65" t="s">
        <v>344</v>
      </c>
      <c r="F695" s="78">
        <v>53295</v>
      </c>
      <c r="G695" s="79">
        <v>56377</v>
      </c>
      <c r="H695" s="80">
        <v>59804</v>
      </c>
      <c r="I695" s="81">
        <v>61085</v>
      </c>
      <c r="J695" s="80">
        <v>63076</v>
      </c>
      <c r="K695" s="79">
        <v>67341</v>
      </c>
      <c r="L695" s="78">
        <v>71404</v>
      </c>
    </row>
    <row r="696" spans="1:12" outlineLevel="1" x14ac:dyDescent="0.2">
      <c r="B696" s="39" t="s">
        <v>130</v>
      </c>
      <c r="C696" s="39" t="s">
        <v>142</v>
      </c>
      <c r="D696" s="39"/>
      <c r="E696" s="65" t="s">
        <v>353</v>
      </c>
      <c r="F696" s="78">
        <v>56033</v>
      </c>
      <c r="G696" s="79">
        <v>59273</v>
      </c>
      <c r="H696" s="80">
        <v>62876</v>
      </c>
      <c r="I696" s="81">
        <v>64223</v>
      </c>
      <c r="J696" s="80">
        <v>66317</v>
      </c>
      <c r="K696" s="79">
        <v>70801</v>
      </c>
      <c r="L696" s="78">
        <v>75073</v>
      </c>
    </row>
    <row r="697" spans="1:12" outlineLevel="1" x14ac:dyDescent="0.2">
      <c r="B697" s="39" t="s">
        <v>130</v>
      </c>
      <c r="C697" s="39" t="s">
        <v>142</v>
      </c>
      <c r="D697" s="39"/>
      <c r="E697" s="65" t="s">
        <v>354</v>
      </c>
      <c r="F697" s="78">
        <v>56743</v>
      </c>
      <c r="G697" s="79">
        <v>60024</v>
      </c>
      <c r="H697" s="80">
        <v>63673</v>
      </c>
      <c r="I697" s="81">
        <v>65037</v>
      </c>
      <c r="J697" s="80">
        <v>67157</v>
      </c>
      <c r="K697" s="79">
        <v>71698</v>
      </c>
      <c r="L697" s="78">
        <v>76024</v>
      </c>
    </row>
    <row r="698" spans="1:12" outlineLevel="1" x14ac:dyDescent="0.2"/>
    <row r="699" spans="1:12" x14ac:dyDescent="0.2">
      <c r="A699" s="75">
        <v>1861</v>
      </c>
      <c r="B699" s="39" t="s">
        <v>130</v>
      </c>
      <c r="C699" s="39" t="s">
        <v>143</v>
      </c>
      <c r="D699" s="39"/>
      <c r="E699" s="153" t="s">
        <v>217</v>
      </c>
    </row>
    <row r="700" spans="1:12" outlineLevel="1" x14ac:dyDescent="0.2">
      <c r="B700" s="39" t="s">
        <v>130</v>
      </c>
      <c r="C700" s="39" t="s">
        <v>143</v>
      </c>
      <c r="D700" s="39"/>
      <c r="E700" s="65" t="s">
        <v>343</v>
      </c>
      <c r="F700" s="78">
        <v>46890</v>
      </c>
      <c r="G700" s="79">
        <v>49225</v>
      </c>
      <c r="H700" s="80">
        <v>51480</v>
      </c>
      <c r="I700" s="81">
        <v>52402</v>
      </c>
      <c r="J700" s="80">
        <v>53452</v>
      </c>
      <c r="K700" s="79">
        <v>56141</v>
      </c>
      <c r="L700" s="78">
        <v>58845</v>
      </c>
    </row>
    <row r="701" spans="1:12" outlineLevel="1" x14ac:dyDescent="0.2">
      <c r="B701" s="39" t="s">
        <v>130</v>
      </c>
      <c r="C701" s="39" t="s">
        <v>143</v>
      </c>
      <c r="D701" s="39"/>
      <c r="E701" s="65" t="s">
        <v>344</v>
      </c>
      <c r="F701" s="78">
        <v>49281</v>
      </c>
      <c r="G701" s="79">
        <v>51735</v>
      </c>
      <c r="H701" s="80">
        <v>54105</v>
      </c>
      <c r="I701" s="81">
        <v>55075</v>
      </c>
      <c r="J701" s="80">
        <v>56178</v>
      </c>
      <c r="K701" s="79">
        <v>59004</v>
      </c>
      <c r="L701" s="78">
        <v>61846</v>
      </c>
    </row>
    <row r="702" spans="1:12" outlineLevel="1" x14ac:dyDescent="0.2">
      <c r="B702" s="39" t="s">
        <v>130</v>
      </c>
      <c r="C702" s="39" t="s">
        <v>143</v>
      </c>
      <c r="D702" s="39"/>
      <c r="E702" s="65" t="s">
        <v>353</v>
      </c>
      <c r="F702" s="78">
        <v>51813</v>
      </c>
      <c r="G702" s="79">
        <v>54393</v>
      </c>
      <c r="H702" s="80">
        <v>56885</v>
      </c>
      <c r="I702" s="81">
        <v>57905</v>
      </c>
      <c r="J702" s="80">
        <v>59065</v>
      </c>
      <c r="K702" s="79">
        <v>62036</v>
      </c>
      <c r="L702" s="78">
        <v>65024</v>
      </c>
    </row>
    <row r="703" spans="1:12" outlineLevel="1" x14ac:dyDescent="0.2">
      <c r="B703" s="39" t="s">
        <v>130</v>
      </c>
      <c r="C703" s="39" t="s">
        <v>143</v>
      </c>
      <c r="D703" s="39"/>
      <c r="E703" s="65" t="s">
        <v>354</v>
      </c>
      <c r="F703" s="78">
        <v>52470</v>
      </c>
      <c r="G703" s="79">
        <v>55082</v>
      </c>
      <c r="H703" s="80">
        <v>57606</v>
      </c>
      <c r="I703" s="81">
        <v>58638</v>
      </c>
      <c r="J703" s="80">
        <v>59813</v>
      </c>
      <c r="K703" s="79">
        <v>62822</v>
      </c>
      <c r="L703" s="78">
        <v>65848</v>
      </c>
    </row>
    <row r="704" spans="1:12" outlineLevel="1" x14ac:dyDescent="0.2"/>
    <row r="705" spans="1:12" ht="14.85" customHeight="1" x14ac:dyDescent="0.2">
      <c r="A705" s="76">
        <v>96</v>
      </c>
      <c r="B705" s="39" t="s">
        <v>131</v>
      </c>
      <c r="C705" s="39" t="s">
        <v>142</v>
      </c>
      <c r="D705" s="39"/>
      <c r="E705" s="153" t="s">
        <v>215</v>
      </c>
    </row>
    <row r="706" spans="1:12" outlineLevel="1" x14ac:dyDescent="0.2">
      <c r="B706" s="39" t="s">
        <v>131</v>
      </c>
      <c r="C706" s="39" t="s">
        <v>142</v>
      </c>
      <c r="D706" s="39"/>
      <c r="E706" s="65" t="s">
        <v>343</v>
      </c>
      <c r="F706" s="78">
        <v>50357</v>
      </c>
      <c r="G706" s="79">
        <v>53677</v>
      </c>
      <c r="H706" s="80">
        <v>57075</v>
      </c>
      <c r="I706" s="81">
        <v>58928</v>
      </c>
      <c r="J706" s="80">
        <v>60263</v>
      </c>
      <c r="K706" s="79">
        <v>63919</v>
      </c>
      <c r="L706" s="78">
        <v>69549</v>
      </c>
    </row>
    <row r="707" spans="1:12" outlineLevel="1" x14ac:dyDescent="0.2">
      <c r="B707" s="39" t="s">
        <v>131</v>
      </c>
      <c r="C707" s="39" t="s">
        <v>142</v>
      </c>
      <c r="D707" s="39"/>
      <c r="E707" s="65" t="s">
        <v>344</v>
      </c>
      <c r="F707" s="78">
        <v>52925</v>
      </c>
      <c r="G707" s="79">
        <v>56414</v>
      </c>
      <c r="H707" s="80">
        <v>59986</v>
      </c>
      <c r="I707" s="81">
        <v>61934</v>
      </c>
      <c r="J707" s="80">
        <v>63336</v>
      </c>
      <c r="K707" s="79">
        <v>67179</v>
      </c>
      <c r="L707" s="78">
        <v>73096</v>
      </c>
    </row>
    <row r="708" spans="1:12" outlineLevel="1" x14ac:dyDescent="0.2">
      <c r="B708" s="39" t="s">
        <v>131</v>
      </c>
      <c r="C708" s="39" t="s">
        <v>142</v>
      </c>
      <c r="D708" s="39"/>
      <c r="E708" s="65" t="s">
        <v>353</v>
      </c>
      <c r="F708" s="78">
        <v>55644</v>
      </c>
      <c r="G708" s="79">
        <v>59313</v>
      </c>
      <c r="H708" s="80">
        <v>63068</v>
      </c>
      <c r="I708" s="81">
        <v>65116</v>
      </c>
      <c r="J708" s="80">
        <v>66590</v>
      </c>
      <c r="K708" s="79">
        <v>70630</v>
      </c>
      <c r="L708" s="78">
        <v>76851</v>
      </c>
    </row>
    <row r="709" spans="1:12" outlineLevel="1" x14ac:dyDescent="0.2">
      <c r="B709" s="39" t="s">
        <v>131</v>
      </c>
      <c r="C709" s="39" t="s">
        <v>142</v>
      </c>
      <c r="D709" s="39"/>
      <c r="E709" s="65" t="s">
        <v>354</v>
      </c>
      <c r="F709" s="78">
        <v>56349</v>
      </c>
      <c r="G709" s="79">
        <v>60064</v>
      </c>
      <c r="H709" s="80">
        <v>63867</v>
      </c>
      <c r="I709" s="81">
        <v>65941</v>
      </c>
      <c r="J709" s="80">
        <v>67434</v>
      </c>
      <c r="K709" s="79">
        <v>71525</v>
      </c>
      <c r="L709" s="78">
        <v>77825</v>
      </c>
    </row>
    <row r="710" spans="1:12" outlineLevel="1" x14ac:dyDescent="0.2"/>
    <row r="711" spans="1:12" x14ac:dyDescent="0.2">
      <c r="A711" s="75">
        <v>678</v>
      </c>
      <c r="B711" s="39" t="s">
        <v>131</v>
      </c>
      <c r="C711" s="39" t="s">
        <v>143</v>
      </c>
      <c r="D711" s="39"/>
      <c r="E711" s="153" t="s">
        <v>216</v>
      </c>
    </row>
    <row r="712" spans="1:12" outlineLevel="1" x14ac:dyDescent="0.2">
      <c r="B712" s="39" t="s">
        <v>131</v>
      </c>
      <c r="C712" s="39" t="s">
        <v>143</v>
      </c>
      <c r="D712" s="39"/>
      <c r="E712" s="65" t="s">
        <v>343</v>
      </c>
      <c r="F712" s="78">
        <v>46701</v>
      </c>
      <c r="G712" s="79">
        <v>48697</v>
      </c>
      <c r="H712" s="80">
        <v>51328</v>
      </c>
      <c r="I712" s="81">
        <v>52394</v>
      </c>
      <c r="J712" s="80">
        <v>53295</v>
      </c>
      <c r="K712" s="79">
        <v>56232</v>
      </c>
      <c r="L712" s="78">
        <v>59826</v>
      </c>
    </row>
    <row r="713" spans="1:12" outlineLevel="1" x14ac:dyDescent="0.2">
      <c r="B713" s="39" t="s">
        <v>131</v>
      </c>
      <c r="C713" s="39" t="s">
        <v>143</v>
      </c>
      <c r="D713" s="39"/>
      <c r="E713" s="65" t="s">
        <v>344</v>
      </c>
      <c r="F713" s="78">
        <v>49083</v>
      </c>
      <c r="G713" s="79">
        <v>51180</v>
      </c>
      <c r="H713" s="80">
        <v>53946</v>
      </c>
      <c r="I713" s="81">
        <v>55066</v>
      </c>
      <c r="J713" s="80">
        <v>56013</v>
      </c>
      <c r="K713" s="79">
        <v>59099</v>
      </c>
      <c r="L713" s="78">
        <v>62877</v>
      </c>
    </row>
    <row r="714" spans="1:12" outlineLevel="1" x14ac:dyDescent="0.2">
      <c r="B714" s="39" t="s">
        <v>131</v>
      </c>
      <c r="C714" s="39" t="s">
        <v>143</v>
      </c>
      <c r="D714" s="39"/>
      <c r="E714" s="65" t="s">
        <v>353</v>
      </c>
      <c r="F714" s="78">
        <v>51605</v>
      </c>
      <c r="G714" s="79">
        <v>53810</v>
      </c>
      <c r="H714" s="80">
        <v>56718</v>
      </c>
      <c r="I714" s="81">
        <v>57895</v>
      </c>
      <c r="J714" s="80">
        <v>58891</v>
      </c>
      <c r="K714" s="79">
        <v>62136</v>
      </c>
      <c r="L714" s="78">
        <v>66108</v>
      </c>
    </row>
    <row r="715" spans="1:12" outlineLevel="1" x14ac:dyDescent="0.2">
      <c r="B715" s="39" t="s">
        <v>131</v>
      </c>
      <c r="C715" s="39" t="s">
        <v>143</v>
      </c>
      <c r="D715" s="39"/>
      <c r="E715" s="65" t="s">
        <v>354</v>
      </c>
      <c r="F715" s="78">
        <v>52259</v>
      </c>
      <c r="G715" s="79">
        <v>54491</v>
      </c>
      <c r="H715" s="80">
        <v>57436</v>
      </c>
      <c r="I715" s="81">
        <v>58629</v>
      </c>
      <c r="J715" s="80">
        <v>59637</v>
      </c>
      <c r="K715" s="79">
        <v>62923</v>
      </c>
      <c r="L715" s="78">
        <v>66945</v>
      </c>
    </row>
    <row r="716" spans="1:12" outlineLevel="1" x14ac:dyDescent="0.2"/>
    <row r="717" spans="1:12" outlineLevel="1" x14ac:dyDescent="0.2"/>
    <row r="718" spans="1:12" x14ac:dyDescent="0.2"/>
    <row r="719" spans="1:12" x14ac:dyDescent="0.2"/>
    <row r="720" spans="1:12"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sheetData>
  <sheetProtection formatCells="0" formatColumns="0" formatRows="0" insertColumns="0"/>
  <mergeCells count="2">
    <mergeCell ref="D517:E517"/>
    <mergeCell ref="D680:E680"/>
  </mergeCells>
  <phoneticPr fontId="35" type="noConversion"/>
  <pageMargins left="0.7" right="0.7" top="0.75" bottom="0.75" header="0.3" footer="0.3"/>
  <pageSetup paperSize="9" scale="55" fitToHeight="0" orientation="landscape" r:id="rId1"/>
  <rowBreaks count="12" manualBreakCount="12">
    <brk id="53" max="16383" man="1"/>
    <brk id="104" max="16383" man="1"/>
    <brk id="155" max="16383" man="1"/>
    <brk id="206" max="16383" man="1"/>
    <brk id="259" max="16383" man="1"/>
    <brk id="310" max="16383" man="1"/>
    <brk id="361" max="16383" man="1"/>
    <brk id="412" max="16383" man="1"/>
    <brk id="463" max="16383" man="1"/>
    <brk id="514" max="16383" man="1"/>
    <brk id="576" max="16383" man="1"/>
    <brk id="6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2:AA66"/>
  <sheetViews>
    <sheetView showGridLines="0" topLeftCell="A4" zoomScale="80" zoomScaleNormal="80" workbookViewId="0">
      <selection activeCell="A66" sqref="A66"/>
    </sheetView>
  </sheetViews>
  <sheetFormatPr defaultColWidth="9" defaultRowHeight="14.25" x14ac:dyDescent="0.2"/>
  <cols>
    <col min="1" max="1" width="60.42578125" style="157" customWidth="1"/>
    <col min="2" max="2" width="4" style="157" customWidth="1"/>
    <col min="3" max="16384" width="9" style="157"/>
  </cols>
  <sheetData>
    <row r="2" spans="1:15" s="155" customFormat="1" ht="15" x14ac:dyDescent="0.25">
      <c r="A2" s="154" t="s">
        <v>230</v>
      </c>
    </row>
    <row r="4" spans="1:15" s="156" customFormat="1" x14ac:dyDescent="0.2">
      <c r="C4" s="156">
        <v>1</v>
      </c>
      <c r="O4" s="156" t="s">
        <v>341</v>
      </c>
    </row>
    <row r="5" spans="1:15" x14ac:dyDescent="0.2">
      <c r="C5" s="157" t="str">
        <f>IF(Dashboard!D17="Primary","P",IF(Dashboard!D17="Secondary with sixth form","SS",IF(Dashboard!D17="Secondary without sixth form","S",IF(Dashboard!D17="Special","SP",IF(Dashboard!D17="Alternative provision","AP",IF(Dashboard!D17="All-through","AT",IF(Dashboard!D17="Nursery","N")))))))</f>
        <v>P</v>
      </c>
      <c r="O5" s="157" t="s">
        <v>342</v>
      </c>
    </row>
    <row r="6" spans="1:15" x14ac:dyDescent="0.2">
      <c r="C6" s="157" t="str">
        <f>C5&amp;
IF($J29="very small","VS",IF($J29="small","S",IF($J29="medium","M",IF($J29="large","L"))))&amp;
IF($K29="low levels of FSM","L",IF($K29="medium levels of FSM","M",IF($K29="high levels of FSM","H")))</f>
        <v>PSM</v>
      </c>
      <c r="O6" s="157" t="s">
        <v>355</v>
      </c>
    </row>
    <row r="7" spans="1:15" x14ac:dyDescent="0.2">
      <c r="C7" s="157" t="str">
        <f>C5&amp;
IF(AND(C5="SS",$I29="in London"),"Lo",IF($I29="in London","L",IF($I29="outside London","NL")))</f>
        <v>PNL</v>
      </c>
      <c r="O7" s="157" t="s">
        <v>356</v>
      </c>
    </row>
    <row r="8" spans="1:15" x14ac:dyDescent="0.2">
      <c r="C8" s="157">
        <v>1</v>
      </c>
      <c r="D8" s="157">
        <v>2</v>
      </c>
      <c r="E8" s="157">
        <v>3</v>
      </c>
      <c r="F8" s="157">
        <v>4</v>
      </c>
      <c r="G8" s="157">
        <v>5</v>
      </c>
      <c r="H8" s="157">
        <v>6</v>
      </c>
      <c r="I8" s="157">
        <v>7</v>
      </c>
    </row>
    <row r="9" spans="1:15" x14ac:dyDescent="0.2">
      <c r="A9" s="157" t="s">
        <v>103</v>
      </c>
      <c r="B9" s="157">
        <f>IF(Dashboard!D21=O4,1,IF(Dashboard!D21=O5,2,IF(Dashboard!D21=O6,3,IF(Dashboard!D21=O7,4))))</f>
        <v>4</v>
      </c>
      <c r="C9" s="158">
        <f t="shared" ref="C9:I9" ca="1" si="0">IF(OR($C$5="P",$C$5="SS",$C$5="S"),INDEX(INDIRECT($C$6),$B9,C$8),
IF(OR($C$5="N",$C$5="AP",$C$5="AT",$C$5="SP"),INDEX(INDIRECT($C$7),$B9,C$8)))</f>
        <v>0.40700000000000003</v>
      </c>
      <c r="D9" s="158">
        <f t="shared" ca="1" si="0"/>
        <v>0.434</v>
      </c>
      <c r="E9" s="159">
        <f t="shared" ca="1" si="0"/>
        <v>0.46400000000000002</v>
      </c>
      <c r="F9" s="160">
        <f t="shared" ca="1" si="0"/>
        <v>0.47600000000000003</v>
      </c>
      <c r="G9" s="159">
        <f t="shared" ca="1" si="0"/>
        <v>0.48899999999999999</v>
      </c>
      <c r="H9" s="158">
        <f t="shared" ca="1" si="0"/>
        <v>0.51900000000000002</v>
      </c>
      <c r="I9" s="158">
        <f t="shared" ca="1" si="0"/>
        <v>0.54400000000000004</v>
      </c>
    </row>
    <row r="10" spans="1:15" x14ac:dyDescent="0.2">
      <c r="A10" s="157" t="s">
        <v>104</v>
      </c>
      <c r="B10" s="157">
        <v>5</v>
      </c>
      <c r="C10" s="160"/>
      <c r="D10" s="160"/>
      <c r="E10" s="159">
        <f t="shared" ref="E10:I11" ca="1" si="1">IF(OR($C$5="P",$C$5="SS",$C$5="S"),INDEX(INDIRECT($C$6),$B10,E$8),
IF(OR($C$5="N",$C$5="AP",$C$5="AT",$C$5="SP"),INDEX(INDIRECT($C$7),$B10,E$8)))</f>
        <v>1.7000000000000001E-2</v>
      </c>
      <c r="F10" s="160">
        <f t="shared" ca="1" si="1"/>
        <v>2.1999999999999999E-2</v>
      </c>
      <c r="G10" s="159">
        <f t="shared" ca="1" si="1"/>
        <v>2.7E-2</v>
      </c>
      <c r="H10" s="158">
        <f t="shared" ca="1" si="1"/>
        <v>4.1000000000000002E-2</v>
      </c>
      <c r="I10" s="158">
        <f t="shared" ca="1" si="1"/>
        <v>5.2999999999999999E-2</v>
      </c>
    </row>
    <row r="11" spans="1:15" x14ac:dyDescent="0.2">
      <c r="A11" s="157" t="s">
        <v>105</v>
      </c>
      <c r="B11" s="157">
        <v>6</v>
      </c>
      <c r="C11" s="160"/>
      <c r="D11" s="160"/>
      <c r="E11" s="159">
        <f t="shared" ca="1" si="1"/>
        <v>0.15</v>
      </c>
      <c r="F11" s="160">
        <f t="shared" ca="1" si="1"/>
        <v>0.16</v>
      </c>
      <c r="G11" s="159">
        <f t="shared" ca="1" si="1"/>
        <v>0.17100000000000001</v>
      </c>
      <c r="H11" s="158">
        <f t="shared" ca="1" si="1"/>
        <v>0.19700000000000001</v>
      </c>
      <c r="I11" s="158">
        <f t="shared" ca="1" si="1"/>
        <v>0.223</v>
      </c>
    </row>
    <row r="12" spans="1:15" x14ac:dyDescent="0.2">
      <c r="A12" s="157" t="s">
        <v>106</v>
      </c>
      <c r="B12" s="157">
        <v>7</v>
      </c>
      <c r="C12" s="160"/>
      <c r="D12" s="160"/>
      <c r="E12" s="160"/>
      <c r="F12" s="160">
        <f t="shared" ref="F12:F19" ca="1" si="2">IF(OR($C$5="P",$C$5="SS",$C$5="S"),INDEX(INDIRECT($C$6),$B12,F$8),
IF(OR($C$5="N",$C$5="AP",$C$5="AT",$C$5="SP"),INDEX(INDIRECT($C$7),$B12,F$8)))</f>
        <v>2.8000000000000001E-2</v>
      </c>
      <c r="G12" s="160"/>
      <c r="H12" s="158">
        <f ca="1">IF(OR($C$5="P",$C$5="SS",$C$5="S"),INDEX(INDIRECT($C$6),$B12,H$8),
IF(OR($C$5="N",$C$5="AP",$C$5="AT",$C$5="SP"),INDEX(INDIRECT($C$7),$B12,H$8)))</f>
        <v>5.5E-2</v>
      </c>
      <c r="I12" s="158">
        <f ca="1">IF(OR($C$5="P",$C$5="SS",$C$5="S"),INDEX(INDIRECT($C$6),$B12,I$8),
IF(OR($C$5="N",$C$5="AP",$C$5="AT",$C$5="SP"),INDEX(INDIRECT($C$7),$B12,I$8)))</f>
        <v>7.4999999999999997E-2</v>
      </c>
    </row>
    <row r="13" spans="1:15" x14ac:dyDescent="0.2">
      <c r="A13" s="157" t="s">
        <v>107</v>
      </c>
      <c r="B13" s="157">
        <v>8</v>
      </c>
      <c r="C13" s="160"/>
      <c r="D13" s="160"/>
      <c r="E13" s="160"/>
      <c r="F13" s="160">
        <f t="shared" ca="1" si="2"/>
        <v>3.5000000000000003E-2</v>
      </c>
      <c r="G13" s="160"/>
      <c r="H13" s="158">
        <f ca="1">IF(OR($C$5="P",$C$5="SS",$C$5="S"),INDEX(INDIRECT($C$6),$B13,H$8),
IF(OR($C$5="N",$C$5="AP",$C$5="AT",$C$5="SP"),INDEX(INDIRECT($C$7),$B13,H$8)))</f>
        <v>5.2000000000000005E-2</v>
      </c>
      <c r="I13" s="158">
        <f ca="1">IF(OR($C$5="P",$C$5="SS",$C$5="S"),INDEX(INDIRECT($C$6),$B13,I$8),
IF(OR($C$5="N",$C$5="AP",$C$5="AT",$C$5="SP"),INDEX(INDIRECT($C$7),$B13,I$8)))</f>
        <v>6.4000000000000001E-2</v>
      </c>
    </row>
    <row r="14" spans="1:15" x14ac:dyDescent="0.2">
      <c r="A14" s="157" t="s">
        <v>108</v>
      </c>
      <c r="B14" s="157">
        <v>9</v>
      </c>
      <c r="C14" s="160"/>
      <c r="D14" s="160"/>
      <c r="E14" s="160"/>
      <c r="F14" s="160">
        <f t="shared" ca="1" si="2"/>
        <v>7.2999999999999995E-2</v>
      </c>
      <c r="G14" s="160"/>
      <c r="H14" s="158">
        <f t="shared" ref="H14:I19" ca="1" si="3">IF(OR($C$5="P",$C$5="SS",$C$5="S"),INDEX(INDIRECT($C$6),$B14,H$8),
IF(OR($C$5="N",$C$5="AP",$C$5="AT",$C$5="SP"),INDEX(INDIRECT($C$7),$B14,H$8)))</f>
        <v>9.8000000000000004E-2</v>
      </c>
      <c r="I14" s="158">
        <f t="shared" ca="1" si="3"/>
        <v>0.109</v>
      </c>
    </row>
    <row r="15" spans="1:15" x14ac:dyDescent="0.2">
      <c r="A15" s="157" t="s">
        <v>109</v>
      </c>
      <c r="B15" s="157">
        <v>10</v>
      </c>
      <c r="C15" s="158">
        <f ca="1">IF(OR($C$5="P",$C$5="SS",$C$5="S"),INDEX(INDIRECT($C$6),$B15,C$8),
IF(OR($C$5="N",$C$5="AP",$C$5="AT",$C$5="SP"),INDEX(INDIRECT($C$7),$B15,C$8)))</f>
        <v>3.1E-2</v>
      </c>
      <c r="D15" s="158">
        <f ca="1">IF(OR($C$5="P",$C$5="SS",$C$5="S"),INDEX(INDIRECT($C$6),$B15,D$8),
IF(OR($C$5="N",$C$5="AP",$C$5="AT",$C$5="SP"),INDEX(INDIRECT($C$7),$B15,D$8)))</f>
        <v>3.6999999999999998E-2</v>
      </c>
      <c r="E15" s="159">
        <f ca="1">IF(OR($C$5="P",$C$5="SS",$C$5="S"),INDEX(INDIRECT($C$6),$B15,E$8),
IF(OR($C$5="N",$C$5="AP",$C$5="AT",$C$5="SP"),INDEX(INDIRECT($C$7),$B15,E$8)))</f>
        <v>4.8000000000000001E-2</v>
      </c>
      <c r="F15" s="160">
        <f ca="1">IF(OR($C$5="P",$C$5="SS",$C$5="S"),INDEX(INDIRECT($C$6),$B15,F$8),
IF(OR($C$5="N",$C$5="AP",$C$5="AT",$C$5="SP"),INDEX(INDIRECT($C$7),$B15,F$8)))</f>
        <v>5.2000000000000005E-2</v>
      </c>
      <c r="G15" s="159">
        <f ca="1">IF(OR($C$5="P",$C$5="SS",$C$5="S"),INDEX(INDIRECT($C$6),$B15,G$8),
IF(OR($C$5="N",$C$5="AP",$C$5="AT",$C$5="SP"),INDEX(INDIRECT($C$7),$B15,G$8)))</f>
        <v>5.7000000000000002E-2</v>
      </c>
      <c r="H15" s="160"/>
      <c r="I15" s="160"/>
    </row>
    <row r="16" spans="1:15" x14ac:dyDescent="0.2">
      <c r="A16" s="157" t="s">
        <v>110</v>
      </c>
      <c r="B16" s="157">
        <v>11</v>
      </c>
      <c r="C16" s="160"/>
      <c r="D16" s="160"/>
      <c r="E16" s="160"/>
      <c r="F16" s="160">
        <f t="shared" ca="1" si="2"/>
        <v>1.3000000000000001E-2</v>
      </c>
      <c r="G16" s="160"/>
      <c r="H16" s="158">
        <f t="shared" ca="1" si="3"/>
        <v>1.7000000000000001E-2</v>
      </c>
      <c r="I16" s="158">
        <f t="shared" ca="1" si="3"/>
        <v>1.9E-2</v>
      </c>
    </row>
    <row r="17" spans="1:26" x14ac:dyDescent="0.2">
      <c r="A17" s="157" t="s">
        <v>34</v>
      </c>
      <c r="B17" s="157">
        <v>12</v>
      </c>
      <c r="C17" s="160"/>
      <c r="D17" s="160"/>
      <c r="E17" s="159">
        <f ca="1">IF(OR($C$5="P",$C$5="SS",$C$5="S"),INDEX(INDIRECT($C$6),$B17,E$8),
IF(OR($C$5="N",$C$5="AP",$C$5="AT",$C$5="SP"),INDEX(INDIRECT($C$7),$B17,E$8)))</f>
        <v>9.4E-2</v>
      </c>
      <c r="F17" s="160">
        <f t="shared" ca="1" si="2"/>
        <v>0.10400000000000001</v>
      </c>
      <c r="G17" s="159">
        <f ca="1">IF(OR($C$5="P",$C$5="SS",$C$5="S"),INDEX(INDIRECT($C$6),$B17,G$8),
IF(OR($C$5="N",$C$5="AP",$C$5="AT",$C$5="SP"),INDEX(INDIRECT($C$7),$B17,G$8)))</f>
        <v>0.11700000000000001</v>
      </c>
      <c r="H17" s="158">
        <f t="shared" ca="1" si="3"/>
        <v>0.14499999999999999</v>
      </c>
      <c r="I17" s="158">
        <f t="shared" ca="1" si="3"/>
        <v>0.16700000000000001</v>
      </c>
    </row>
    <row r="18" spans="1:26" x14ac:dyDescent="0.2">
      <c r="A18" s="157" t="s">
        <v>4</v>
      </c>
      <c r="B18" s="157">
        <v>13</v>
      </c>
      <c r="C18" s="161">
        <f ca="1">IF(OR($C$5="P",$C$5="SS",$C$5="S"),INDEX(INDIRECT($C$6),$B18,C$8),
IF(OR($C$5="N",$C$5="AP",$C$5="AT",$C$5="SP"),INDEX(INDIRECT($C$7),$B18,C$8)))</f>
        <v>16.5</v>
      </c>
      <c r="D18" s="161">
        <f ca="1">IF(OR($C$5="P",$C$5="SS",$C$5="S"),INDEX(INDIRECT($C$6),$B18,D$8),
IF(OR($C$5="N",$C$5="AP",$C$5="AT",$C$5="SP"),INDEX(INDIRECT($C$7),$B18,D$8)))</f>
        <v>17.600000000000001</v>
      </c>
      <c r="E18" s="162">
        <f ca="1">IF(OR($C$5="P",$C$5="SS",$C$5="S"),INDEX(INDIRECT($C$6),$B18,E$8),
IF(OR($C$5="N",$C$5="AP",$C$5="AT",$C$5="SP"),INDEX(INDIRECT($C$7),$B18,E$8)))</f>
        <v>19.200000000000003</v>
      </c>
      <c r="F18" s="163">
        <f t="shared" ca="1" si="2"/>
        <v>20.200000000000003</v>
      </c>
      <c r="G18" s="162">
        <f ca="1">IF(OR($C$5="P",$C$5="SS",$C$5="S"),INDEX(INDIRECT($C$6),$B18,G$8),
IF(OR($C$5="N",$C$5="AP",$C$5="AT",$C$5="SP"),INDEX(INDIRECT($C$7),$B18,G$8)))</f>
        <v>20.8</v>
      </c>
      <c r="H18" s="161">
        <f t="shared" ca="1" si="3"/>
        <v>22.400000000000002</v>
      </c>
      <c r="I18" s="161">
        <f t="shared" ca="1" si="3"/>
        <v>24</v>
      </c>
    </row>
    <row r="19" spans="1:26" x14ac:dyDescent="0.2">
      <c r="A19" s="157" t="s">
        <v>14</v>
      </c>
      <c r="B19" s="157">
        <v>14</v>
      </c>
      <c r="C19" s="161">
        <f ca="1">IF(OR($C$5="P",$C$5="SS",$C$5="S"),INDEX(INDIRECT($C$6),$B19,C$8),
IF(OR($C$5="N",$C$5="AP",$C$5="AT",$C$5="SP"),INDEX(INDIRECT($C$7),$B19,C$8)))</f>
        <v>7.1000000000000005</v>
      </c>
      <c r="D19" s="161">
        <f ca="1">IF(OR($C$5="P",$C$5="SS",$C$5="S"),INDEX(INDIRECT($C$6),$B19,D$8),
IF(OR($C$5="N",$C$5="AP",$C$5="AT",$C$5="SP"),INDEX(INDIRECT($C$7),$B19,D$8)))</f>
        <v>7.8000000000000007</v>
      </c>
      <c r="E19" s="162">
        <f ca="1">IF(OR($C$5="P",$C$5="SS",$C$5="S"),INDEX(INDIRECT($C$6),$B19,E$8),
IF(OR($C$5="N",$C$5="AP",$C$5="AT",$C$5="SP"),INDEX(INDIRECT($C$7),$B19,E$8)))</f>
        <v>8.7000000000000011</v>
      </c>
      <c r="F19" s="163">
        <f t="shared" ca="1" si="2"/>
        <v>9.1</v>
      </c>
      <c r="G19" s="162">
        <f ca="1">IF(OR($C$5="P",$C$5="SS",$C$5="S"),INDEX(INDIRECT($C$6),$B19,G$8),
IF(OR($C$5="N",$C$5="AP",$C$5="AT",$C$5="SP"),INDEX(INDIRECT($C$7),$B19,G$8)))</f>
        <v>9.5</v>
      </c>
      <c r="H19" s="161">
        <f t="shared" ca="1" si="3"/>
        <v>10.3</v>
      </c>
      <c r="I19" s="161">
        <f t="shared" ca="1" si="3"/>
        <v>11.200000000000001</v>
      </c>
    </row>
    <row r="20" spans="1:26" ht="13.5" customHeight="1" x14ac:dyDescent="0.2">
      <c r="A20" s="157" t="s">
        <v>0</v>
      </c>
      <c r="B20" s="157">
        <v>15</v>
      </c>
      <c r="C20" s="161">
        <f t="shared" ref="C20:I20" ca="1" si="4">IF(OR($C$5="P",$C$5="SS",$C$5="S"),INDEX(INDIRECT($C$6),$B20,C$8),
IF(OR($C$5="N",$C$5="AP",$C$5="SP"),"",IF($C$5="AT",INDEX(INDIRECT($C$7),$B20,C$8))))</f>
        <v>21.5</v>
      </c>
      <c r="D20" s="161">
        <f t="shared" ca="1" si="4"/>
        <v>22.8</v>
      </c>
      <c r="E20" s="162">
        <f t="shared" ca="1" si="4"/>
        <v>24.8</v>
      </c>
      <c r="F20" s="163">
        <f t="shared" ca="1" si="4"/>
        <v>25.5</v>
      </c>
      <c r="G20" s="162">
        <f t="shared" ca="1" si="4"/>
        <v>26.3</v>
      </c>
      <c r="H20" s="161">
        <f t="shared" ca="1" si="4"/>
        <v>27.8</v>
      </c>
      <c r="I20" s="161">
        <f t="shared" ca="1" si="4"/>
        <v>28.700000000000003</v>
      </c>
    </row>
    <row r="21" spans="1:26" ht="13.5" customHeight="1" x14ac:dyDescent="0.2">
      <c r="A21" s="157" t="s">
        <v>219</v>
      </c>
      <c r="B21" s="228">
        <f>IF(Dashboard!D21=O4,16,IF(Dashboard!D21=O5,17,IF(Dashboard!D21=O6,18,IF(Dashboard!D21=O7,19))))-IF(OR($C$5="N",$C$5="AP",$C$5="SP"),1,0)</f>
        <v>19</v>
      </c>
      <c r="C21" s="164">
        <f ca="1">IF(OR($C$5="P",$C$5="SS",$C$5="S"),INDEX(INDIRECT($C$7),$B$9,C$8),
IF(OR($C$5="N",$C$5="AP",$C$5="SP",$C$5="AT"),INDEX(INDIRECT($C$7),$B21,C$8)))</f>
        <v>45533</v>
      </c>
      <c r="D21" s="164">
        <f ca="1">IF(OR($C$5="P",$C$5="SS",$C$5="S"),INDEX(INDIRECT($C$7),$B$9,D$8),
IF(OR($C$5="N",$C$5="AP",$C$5="SP",$C$5="AT"),INDEX(INDIRECT($C$7),$B21,D$8)))</f>
        <v>48451</v>
      </c>
      <c r="E21" s="164">
        <f t="shared" ref="E21:I21" ca="1" si="5">IF(OR($C$5="P",$C$5="SS",$C$5="S"),INDEX(INDIRECT($C$7),$B$9,E$8),
IF(OR($C$5="N",$C$5="AP",$C$5="SP",$C$5="AT"),INDEX(INDIRECT($C$7),$B21,E$8)))</f>
        <v>51873</v>
      </c>
      <c r="F21" s="165">
        <f t="shared" ca="1" si="5"/>
        <v>53287</v>
      </c>
      <c r="G21" s="164">
        <f t="shared" ca="1" si="5"/>
        <v>54790</v>
      </c>
      <c r="H21" s="164">
        <f t="shared" ca="1" si="5"/>
        <v>58369</v>
      </c>
      <c r="I21" s="164">
        <f t="shared" ca="1" si="5"/>
        <v>62011</v>
      </c>
    </row>
    <row r="26" spans="1:26" s="154" customFormat="1" ht="15" x14ac:dyDescent="0.25">
      <c r="A26" s="154" t="s">
        <v>231</v>
      </c>
    </row>
    <row r="28" spans="1:26" ht="15" x14ac:dyDescent="0.25">
      <c r="A28" s="170" t="s">
        <v>227</v>
      </c>
      <c r="B28" s="170"/>
      <c r="C28" s="170"/>
      <c r="D28" s="170" t="s">
        <v>229</v>
      </c>
      <c r="E28" s="170" t="s">
        <v>228</v>
      </c>
      <c r="F28" s="170"/>
      <c r="G28" s="170"/>
      <c r="H28" s="170"/>
      <c r="I28" s="170" t="s">
        <v>234</v>
      </c>
    </row>
    <row r="29" spans="1:26" x14ac:dyDescent="0.2">
      <c r="A29" s="166" t="str">
        <f>IF(Dashboard!D$15=0,"",Dashboard!D$15)</f>
        <v xml:space="preserve">Antrobus St Marks &amp; Great Budworth </v>
      </c>
      <c r="B29" s="167">
        <v>1</v>
      </c>
      <c r="C29" s="167" t="s">
        <v>226</v>
      </c>
      <c r="D29" s="167" t="s">
        <v>225</v>
      </c>
      <c r="E29" s="168" t="str">
        <f>IF(Dashboard!D$17=0,"",Dashboard!D$17)</f>
        <v>Primary</v>
      </c>
      <c r="F29" s="166" t="str">
        <f>IF(Dashboard!D$18=0,"",Dashboard!D$18)</f>
        <v>North West</v>
      </c>
      <c r="G29" s="166">
        <f>IF(Dashboard!D$19=0,"",Dashboard!D$19)</f>
        <v>129</v>
      </c>
      <c r="H29" s="166">
        <f>Dashboard!D$20</f>
        <v>0.1007</v>
      </c>
      <c r="I29" s="167" t="str">
        <f>IF(F29="","",IF(OR(F29="Inner London",F29="Outer London"),"in London","outside London"))</f>
        <v>outside London</v>
      </c>
      <c r="J29" s="167" t="str">
        <f>IF(AND(E29="Primary",G29&lt;=$X$30),"very small",IF(AND(E29="Primary",G29&lt;=$Y$30,G29&gt;$X$30),"small",IF(AND(E29="Primary",G29&gt;$Y$30,G29&lt;=$Z$30),"medium",IF(AND(E29="Primary",G29&gt;$Z$30),"large",
IF(AND(E29="Secondary with sixth form",G29&lt;=$Y$31),"small",IF(AND(E29="Secondary with sixth form",G29&gt;$Y$31,G29&lt;=$Z$31),"medium",IF(AND(E29="Secondary with sixth form",G29&gt;$Z$31),"large",
IF(AND(E29="Secondary without sixth form",G29&lt;=$Y$32),"small",IF(AND(E29="Secondary without sixth form",G29&gt;$Y$32,G29&lt;=$Z$32),"medium",IF(AND(E29="Secondary without sixth form",G29&gt;$Z$32),"large",""))))))))))</f>
        <v>small</v>
      </c>
      <c r="K29" s="167" t="str">
        <f>IF(AND(E29="Primary",H29&lt;=$X$35),"low levels of FSM",IF(AND(E29="Primary",H29&gt;$X$35,H29&lt;=$Y$35),"medium levels of FSM",IF(AND(E29="Primary",H29&gt;$Y$35),"high levels of FSM",
IF(AND(E29="Secondary with sixth form",H29&lt;=$X$36),"low levels of FSM",IF(AND(E29="Secondary with sixth form",H29&gt;$X$36,H29&lt;=$Y$36),"medium levels of FSM",IF(AND(E29="Secondary with sixth form",H29&gt;$Y$36),"high levels of FSM",
IF(AND(E29="Secondary without sixth form",H29&lt;=$X$37),"low levels of FSM",IF(AND(E29="Secondary without sixth form",H29&gt;$X$37,H29&lt;=$Y$37),"medium levels of FSM",IF(AND(E29="Secondary without sixth form",H29&gt;$Y$37),"high levels of FSM","")))))))))</f>
        <v>medium levels of FSM</v>
      </c>
      <c r="L29" s="167" t="str">
        <f>IF(E29="Primary","a primary school",IF(E29="Secondary with sixth form","a secondary school with a sixth form",IF(E29="Secondary without sixth form","a secondary school without a sixth form",IF(E29="Special","a special school",IF(E29="Alternative provision","an alternative provision school",IF(E29="All-through","an all-through school",IF(E29="Nursery","a nursery school","")))))))</f>
        <v>a primary school</v>
      </c>
      <c r="M29" s="167" t="str">
        <f>IF(AND(E29="Primary",J29="very small"),$X$30&amp;" or fewer pupils",
IF(AND(E29="Primary",J29="small"),"between "&amp;$X$30+1&amp;" and "&amp;$Y$30&amp;" pupils",
IF(AND(E29="Primary",J29="medium"),"between "&amp;$Y$30+1&amp;" and "&amp;$Z$30&amp;" pupils",
IF(AND(E29="Primary",J29="large"),"more than "&amp;$Z$30&amp;" pupils",
IF(AND(E29="Secondary with sixth form",J29="small"),$Y$31&amp;" or fewer pupils",
IF(AND(E29="Secondary with sixth form",J29="medium"),"between "&amp;$Y$31+1&amp;" and "&amp;$Z$31&amp;" pupils",
IF(AND(E29="Secondary with sixth form",J29="large"),"more than "&amp;$Z$31&amp;" pupils",
IF(AND(E29="Secondary without sixth form",J29="small"),$Y$32&amp;" or fewer pupils",
IF(AND(E29="Secondary without sixth form",J29="medium"),"between "&amp;$Y$32+1&amp;" and "&amp;$Z$32&amp;" pupils",
IF(AND(E29="Secondary without sixth form",J29="large"),"more than "&amp;$Z$32&amp;" pupils",""))))))))))</f>
        <v>between 101 and 173 pupils</v>
      </c>
      <c r="N29" s="167" t="str">
        <f>IF(AND(E29="Primary",K29="low levels of FSM"),"less than "&amp;$Z$35&amp;" of pupils",
IF(AND(E29="Primary",K29="medium levels of FSM"),"between "&amp;$Z$35&amp;" and "&amp;$AA$35&amp;" of pupils",
IF(AND(E29="Primary",K29="high levels of FSM"),"more than "&amp;$AA$35&amp;" of pupils",
IF(AND(E29="Secondary with sixth form",K29="low levels of FSM"),"less than "&amp;$Z$36&amp;" of pupils",
IF(AND(E29="Secondary with sixth form",K29="medium levels of FSM"),"between "&amp;$Z$36&amp;" and "&amp;$AA$36&amp;" of pupils",
IF(AND(E29="Secondary with sixth form",K29="high levels of FSM"),"more than "&amp;$AA$36&amp;" of pupils",
IF(AND(E29="Secondary without sixth form",K29="low levels of FSM"),"less than "&amp;$Z$37&amp;" of pupils",
IF(AND(E29="Secondary without sixth form",K29="medium levels of FSM"),"between "&amp;$Z$37&amp;" and "&amp;$AA$37&amp;" of pupils",
IF(AND(E29="Secondary without sixth form",K29="high levels of FSM"),"more than "&amp;$AA$37&amp;" of pupils","")))))))))</f>
        <v>between 6.2% and 11.8% of pupils</v>
      </c>
      <c r="O29" s="167" t="str">
        <f>IF(Dashboard!D$21=0,"",Dashboard!D$21)</f>
        <v>2020/21 (academic year) or later</v>
      </c>
      <c r="W29" s="167"/>
      <c r="X29" s="167" t="s">
        <v>135</v>
      </c>
      <c r="Y29" s="167" t="s">
        <v>137</v>
      </c>
      <c r="Z29" s="167" t="s">
        <v>138</v>
      </c>
    </row>
    <row r="30" spans="1:26" x14ac:dyDescent="0.2">
      <c r="A30" s="207"/>
      <c r="B30" s="208"/>
      <c r="C30" s="208"/>
      <c r="D30" s="208"/>
      <c r="E30" s="207"/>
      <c r="F30" s="207"/>
      <c r="G30" s="207"/>
      <c r="H30" s="207"/>
      <c r="I30" s="208"/>
      <c r="J30" s="208"/>
      <c r="K30" s="208"/>
      <c r="L30" s="208"/>
      <c r="M30" s="208"/>
      <c r="N30" s="208"/>
      <c r="W30" s="167" t="s">
        <v>21</v>
      </c>
      <c r="X30" s="233">
        <v>100</v>
      </c>
      <c r="Y30" s="233">
        <v>173</v>
      </c>
      <c r="Z30" s="233">
        <v>232</v>
      </c>
    </row>
    <row r="31" spans="1:26" x14ac:dyDescent="0.2">
      <c r="A31" s="207"/>
      <c r="B31" s="208"/>
      <c r="C31" s="208"/>
      <c r="D31" s="208"/>
      <c r="E31" s="207"/>
      <c r="F31" s="207"/>
      <c r="G31" s="207"/>
      <c r="H31" s="207"/>
      <c r="I31" s="208"/>
      <c r="J31" s="208"/>
      <c r="K31" s="208"/>
      <c r="L31" s="208"/>
      <c r="M31" s="208"/>
      <c r="N31" s="208"/>
      <c r="W31" s="167" t="s">
        <v>130</v>
      </c>
      <c r="X31" s="233"/>
      <c r="Y31" s="233">
        <v>837</v>
      </c>
      <c r="Z31" s="233">
        <v>1085</v>
      </c>
    </row>
    <row r="32" spans="1:26" x14ac:dyDescent="0.2">
      <c r="A32" s="207"/>
      <c r="B32" s="208"/>
      <c r="C32" s="208"/>
      <c r="D32" s="208"/>
      <c r="E32" s="207"/>
      <c r="F32" s="207"/>
      <c r="G32" s="207"/>
      <c r="H32" s="207"/>
      <c r="I32" s="208"/>
      <c r="J32" s="208"/>
      <c r="K32" s="208"/>
      <c r="L32" s="208"/>
      <c r="M32" s="208"/>
      <c r="N32" s="208"/>
      <c r="W32" s="167" t="s">
        <v>131</v>
      </c>
      <c r="X32" s="233"/>
      <c r="Y32" s="233">
        <v>570</v>
      </c>
      <c r="Z32" s="233">
        <v>758</v>
      </c>
    </row>
    <row r="33" spans="1:27" x14ac:dyDescent="0.2">
      <c r="B33" s="208"/>
      <c r="C33" s="208"/>
      <c r="D33" s="208"/>
      <c r="E33" s="207"/>
      <c r="F33" s="207"/>
      <c r="G33" s="207"/>
      <c r="H33" s="207"/>
      <c r="I33" s="208"/>
      <c r="J33" s="208"/>
      <c r="K33" s="208"/>
      <c r="L33" s="208"/>
      <c r="M33" s="208"/>
      <c r="N33" s="208"/>
    </row>
    <row r="34" spans="1:27" x14ac:dyDescent="0.2">
      <c r="B34" s="208"/>
      <c r="C34" s="208"/>
      <c r="D34" s="208"/>
      <c r="E34" s="207"/>
      <c r="F34" s="207"/>
      <c r="G34" s="207"/>
      <c r="H34" s="207"/>
      <c r="I34" s="208"/>
      <c r="J34" s="208"/>
      <c r="K34" s="208"/>
      <c r="L34" s="208"/>
      <c r="M34" s="208"/>
      <c r="N34" s="208"/>
      <c r="O34" s="169"/>
      <c r="P34" s="169"/>
      <c r="Q34" s="169"/>
      <c r="W34" s="167"/>
      <c r="X34" s="167" t="s">
        <v>235</v>
      </c>
      <c r="Y34" s="167" t="s">
        <v>138</v>
      </c>
    </row>
    <row r="35" spans="1:27" x14ac:dyDescent="0.2">
      <c r="B35" s="208"/>
      <c r="C35" s="208"/>
      <c r="D35" s="208"/>
      <c r="E35" s="207"/>
      <c r="F35" s="207"/>
      <c r="G35" s="207"/>
      <c r="H35" s="207"/>
      <c r="I35" s="208"/>
      <c r="J35" s="208"/>
      <c r="K35" s="208"/>
      <c r="L35" s="208"/>
      <c r="M35" s="208"/>
      <c r="N35" s="208"/>
      <c r="W35" s="167" t="s">
        <v>21</v>
      </c>
      <c r="X35" s="233">
        <v>6.2E-2</v>
      </c>
      <c r="Y35" s="233">
        <v>0.11799999999999999</v>
      </c>
      <c r="Z35" s="181" t="str">
        <f t="shared" ref="Z35:AA37" si="6">(X35*100)&amp;"%"</f>
        <v>6.2%</v>
      </c>
      <c r="AA35" s="181" t="str">
        <f t="shared" si="6"/>
        <v>11.8%</v>
      </c>
    </row>
    <row r="36" spans="1:27" x14ac:dyDescent="0.2">
      <c r="B36" s="208"/>
      <c r="C36" s="208"/>
      <c r="D36" s="208"/>
      <c r="E36" s="207"/>
      <c r="F36" s="207"/>
      <c r="G36" s="207"/>
      <c r="H36" s="207"/>
      <c r="I36" s="208"/>
      <c r="J36" s="208"/>
      <c r="K36" s="208"/>
      <c r="L36" s="208"/>
      <c r="M36" s="208"/>
      <c r="N36" s="208"/>
      <c r="W36" s="167" t="s">
        <v>130</v>
      </c>
      <c r="X36" s="233">
        <v>6.3E-2</v>
      </c>
      <c r="Y36" s="233">
        <v>0.11</v>
      </c>
      <c r="Z36" s="181" t="str">
        <f t="shared" si="6"/>
        <v>6.3%</v>
      </c>
      <c r="AA36" s="181" t="str">
        <f t="shared" si="6"/>
        <v>11%</v>
      </c>
    </row>
    <row r="37" spans="1:27" x14ac:dyDescent="0.2">
      <c r="B37" s="208"/>
      <c r="C37" s="208"/>
      <c r="D37" s="208"/>
      <c r="E37" s="207"/>
      <c r="F37" s="207"/>
      <c r="G37" s="207"/>
      <c r="H37" s="207"/>
      <c r="I37" s="208"/>
      <c r="J37" s="208"/>
      <c r="K37" s="208"/>
      <c r="L37" s="208"/>
      <c r="M37" s="208"/>
      <c r="N37" s="208"/>
      <c r="W37" s="167" t="s">
        <v>131</v>
      </c>
      <c r="X37" s="233">
        <v>9.5500000000000002E-2</v>
      </c>
      <c r="Y37" s="233">
        <v>0.156</v>
      </c>
      <c r="Z37" s="181" t="str">
        <f t="shared" si="6"/>
        <v>9.55%</v>
      </c>
      <c r="AA37" s="181" t="str">
        <f t="shared" si="6"/>
        <v>15.6%</v>
      </c>
    </row>
    <row r="38" spans="1:27" x14ac:dyDescent="0.2">
      <c r="A38" s="207"/>
      <c r="B38" s="208"/>
      <c r="C38" s="208"/>
      <c r="D38" s="208"/>
      <c r="E38" s="207"/>
      <c r="F38" s="207"/>
      <c r="G38" s="207"/>
      <c r="H38" s="207"/>
      <c r="I38" s="208"/>
      <c r="J38" s="208"/>
      <c r="K38" s="208"/>
      <c r="L38" s="208"/>
      <c r="M38" s="208"/>
      <c r="N38" s="208"/>
    </row>
    <row r="39" spans="1:27" x14ac:dyDescent="0.2">
      <c r="A39" s="207"/>
      <c r="B39" s="208"/>
      <c r="C39" s="208"/>
      <c r="D39" s="208"/>
      <c r="E39" s="207"/>
      <c r="F39" s="207"/>
      <c r="G39" s="207"/>
      <c r="H39" s="207"/>
      <c r="I39" s="208"/>
      <c r="J39" s="208"/>
      <c r="K39" s="208"/>
      <c r="L39" s="208"/>
      <c r="M39" s="208"/>
      <c r="N39" s="208"/>
    </row>
    <row r="43" spans="1:27" s="154" customFormat="1" ht="15" x14ac:dyDescent="0.25">
      <c r="A43" s="154" t="s">
        <v>232</v>
      </c>
    </row>
    <row r="45" spans="1:27" x14ac:dyDescent="0.2">
      <c r="A45" s="157" t="s">
        <v>39</v>
      </c>
      <c r="B45" s="157" t="s">
        <v>47</v>
      </c>
    </row>
    <row r="46" spans="1:27" x14ac:dyDescent="0.2">
      <c r="A46" s="157" t="s">
        <v>40</v>
      </c>
      <c r="B46" s="157" t="s">
        <v>46</v>
      </c>
    </row>
    <row r="47" spans="1:27" x14ac:dyDescent="0.2">
      <c r="A47" s="157" t="s">
        <v>157</v>
      </c>
      <c r="B47" s="157" t="s">
        <v>161</v>
      </c>
    </row>
    <row r="48" spans="1:27" x14ac:dyDescent="0.2">
      <c r="A48" s="157" t="s">
        <v>38</v>
      </c>
      <c r="B48" s="157" t="s">
        <v>48</v>
      </c>
    </row>
    <row r="49" spans="1:13" x14ac:dyDescent="0.2">
      <c r="A49" s="157" t="s">
        <v>41</v>
      </c>
      <c r="B49" s="157" t="s">
        <v>49</v>
      </c>
    </row>
    <row r="50" spans="1:13" x14ac:dyDescent="0.2">
      <c r="A50" s="157" t="s">
        <v>42</v>
      </c>
    </row>
    <row r="51" spans="1:13" x14ac:dyDescent="0.2">
      <c r="B51" s="157" t="s">
        <v>15</v>
      </c>
    </row>
    <row r="52" spans="1:13" s="209" customFormat="1" ht="15" x14ac:dyDescent="0.25">
      <c r="A52" s="157"/>
      <c r="B52" s="157" t="s">
        <v>162</v>
      </c>
      <c r="C52" s="157"/>
      <c r="D52" s="157"/>
      <c r="E52" s="157"/>
      <c r="F52" s="157"/>
      <c r="G52" s="157"/>
      <c r="H52" s="157"/>
      <c r="I52" s="157"/>
      <c r="J52" s="157"/>
      <c r="K52" s="157"/>
      <c r="L52" s="157"/>
      <c r="M52" s="157"/>
    </row>
    <row r="53" spans="1:13" x14ac:dyDescent="0.2">
      <c r="A53" s="157" t="s">
        <v>158</v>
      </c>
      <c r="B53" s="157" t="s">
        <v>126</v>
      </c>
    </row>
    <row r="54" spans="1:13" x14ac:dyDescent="0.2">
      <c r="A54" s="157" t="s">
        <v>159</v>
      </c>
      <c r="B54" s="157" t="s">
        <v>170</v>
      </c>
    </row>
    <row r="55" spans="1:13" x14ac:dyDescent="0.2">
      <c r="A55" s="157" t="s">
        <v>160</v>
      </c>
    </row>
    <row r="56" spans="1:13" x14ac:dyDescent="0.2">
      <c r="B56" s="157" t="s">
        <v>43</v>
      </c>
    </row>
    <row r="57" spans="1:13" x14ac:dyDescent="0.2">
      <c r="B57" s="157" t="s">
        <v>44</v>
      </c>
    </row>
    <row r="58" spans="1:13" x14ac:dyDescent="0.2">
      <c r="B58" s="157" t="s">
        <v>50</v>
      </c>
    </row>
    <row r="59" spans="1:13" x14ac:dyDescent="0.2">
      <c r="B59" s="157" t="s">
        <v>45</v>
      </c>
    </row>
    <row r="62" spans="1:13" x14ac:dyDescent="0.2">
      <c r="A62" s="157" t="s">
        <v>21</v>
      </c>
    </row>
    <row r="63" spans="1:13" x14ac:dyDescent="0.2">
      <c r="A63" s="157" t="s">
        <v>130</v>
      </c>
    </row>
    <row r="64" spans="1:13" x14ac:dyDescent="0.2">
      <c r="A64" s="157" t="s">
        <v>131</v>
      </c>
    </row>
    <row r="65" spans="1:1" x14ac:dyDescent="0.2">
      <c r="A65" s="157" t="s">
        <v>22</v>
      </c>
    </row>
    <row r="66" spans="1:1" x14ac:dyDescent="0.2">
      <c r="A66" s="167" t="str">
        <f>""</f>
        <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72</vt:i4>
      </vt:variant>
    </vt:vector>
  </HeadingPairs>
  <TitlesOfParts>
    <vt:vector size="79" baseType="lpstr">
      <vt:lpstr>Introduction and outcomes</vt:lpstr>
      <vt:lpstr>Checklist</vt:lpstr>
      <vt:lpstr>Dashboard</vt:lpstr>
      <vt:lpstr>Optional - input raw data</vt:lpstr>
      <vt:lpstr>RAG rating data for your school</vt:lpstr>
      <vt:lpstr>RAG rating data for all schools</vt:lpstr>
      <vt:lpstr>Calcs</vt:lpstr>
      <vt:lpstr>A</vt:lpstr>
      <vt:lpstr>APL</vt:lpstr>
      <vt:lpstr>APNL</vt:lpstr>
      <vt:lpstr>ATL</vt:lpstr>
      <vt:lpstr>ATNL</vt:lpstr>
      <vt:lpstr>Average</vt:lpstr>
      <vt:lpstr>Below</vt:lpstr>
      <vt:lpstr>Good</vt:lpstr>
      <vt:lpstr>High</vt:lpstr>
      <vt:lpstr>Higher</vt:lpstr>
      <vt:lpstr>Highest10</vt:lpstr>
      <vt:lpstr>Highest20</vt:lpstr>
      <vt:lpstr>Inadequate</vt:lpstr>
      <vt:lpstr>Inline</vt:lpstr>
      <vt:lpstr>Inline2</vt:lpstr>
      <vt:lpstr>Low</vt:lpstr>
      <vt:lpstr>Lower</vt:lpstr>
      <vt:lpstr>Lowest10</vt:lpstr>
      <vt:lpstr>Lowest20</vt:lpstr>
      <vt:lpstr>Medium</vt:lpstr>
      <vt:lpstr>Middle20</vt:lpstr>
      <vt:lpstr>Muchhigher</vt:lpstr>
      <vt:lpstr>Muchlower</vt:lpstr>
      <vt:lpstr>NL</vt:lpstr>
      <vt:lpstr>NNL</vt:lpstr>
      <vt:lpstr>Outstanding</vt:lpstr>
      <vt:lpstr>PL</vt:lpstr>
      <vt:lpstr>PLH</vt:lpstr>
      <vt:lpstr>PLL</vt:lpstr>
      <vt:lpstr>PLM</vt:lpstr>
      <vt:lpstr>PMH</vt:lpstr>
      <vt:lpstr>PML</vt:lpstr>
      <vt:lpstr>PMM</vt:lpstr>
      <vt:lpstr>PNL</vt:lpstr>
      <vt:lpstr>Checklist!Print_Area</vt:lpstr>
      <vt:lpstr>Dashboard!Print_Area</vt:lpstr>
      <vt:lpstr>'Introduction and outcomes'!Print_Area</vt:lpstr>
      <vt:lpstr>'Optional - input raw data'!Print_Area</vt:lpstr>
      <vt:lpstr>PSH</vt:lpstr>
      <vt:lpstr>PSL</vt:lpstr>
      <vt:lpstr>PSM</vt:lpstr>
      <vt:lpstr>PVSH</vt:lpstr>
      <vt:lpstr>PVSL</vt:lpstr>
      <vt:lpstr>PVSM</vt:lpstr>
      <vt:lpstr>RI</vt:lpstr>
      <vt:lpstr>SL</vt:lpstr>
      <vt:lpstr>SLH</vt:lpstr>
      <vt:lpstr>SLL</vt:lpstr>
      <vt:lpstr>SLM</vt:lpstr>
      <vt:lpstr>SMH</vt:lpstr>
      <vt:lpstr>SML</vt:lpstr>
      <vt:lpstr>SMM</vt:lpstr>
      <vt:lpstr>SNL</vt:lpstr>
      <vt:lpstr>SPL</vt:lpstr>
      <vt:lpstr>SPNL</vt:lpstr>
      <vt:lpstr>SSH</vt:lpstr>
      <vt:lpstr>SSL</vt:lpstr>
      <vt:lpstr>SSLH</vt:lpstr>
      <vt:lpstr>SSLL</vt:lpstr>
      <vt:lpstr>SSLM</vt:lpstr>
      <vt:lpstr>SSLo</vt:lpstr>
      <vt:lpstr>SSM</vt:lpstr>
      <vt:lpstr>SSMH</vt:lpstr>
      <vt:lpstr>SSML</vt:lpstr>
      <vt:lpstr>SSMM</vt:lpstr>
      <vt:lpstr>SSNL</vt:lpstr>
      <vt:lpstr>SSSH</vt:lpstr>
      <vt:lpstr>SSSL</vt:lpstr>
      <vt:lpstr>SSSM</vt:lpstr>
      <vt:lpstr>Wellabove</vt:lpstr>
      <vt:lpstr>Wellbelow</vt:lpstr>
      <vt:lpstr>Year</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NUNN, Emily</dc:creator>
  <cp:lastModifiedBy>Ann Bolshaw</cp:lastModifiedBy>
  <cp:lastPrinted>2019-09-05T09:04:00Z</cp:lastPrinted>
  <dcterms:created xsi:type="dcterms:W3CDTF">2017-10-02T14:43:37Z</dcterms:created>
  <dcterms:modified xsi:type="dcterms:W3CDTF">2021-05-14T12:25:54Z</dcterms:modified>
</cp:coreProperties>
</file>